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-001\gestion gral. ozoria\GESTION GENERAL OSORIA DE LA CRUZ 01\INVENTARIOS 2024\TRIMESTRE LIBRE ACCESO A LA INF\"/>
    </mc:Choice>
  </mc:AlternateContent>
  <bookViews>
    <workbookView xWindow="240" yWindow="45" windowWidth="18990" windowHeight="7995" activeTab="3"/>
  </bookViews>
  <sheets>
    <sheet name="LIMP. " sheetId="12" r:id="rId1"/>
    <sheet name="OFC. " sheetId="13" r:id="rId2"/>
    <sheet name="IND." sheetId="7" r:id="rId3"/>
    <sheet name="SALUD " sheetId="5" r:id="rId4"/>
  </sheets>
  <definedNames>
    <definedName name="_xlnm.Print_Area" localSheetId="2">IND.!$A$1:$I$61</definedName>
    <definedName name="_xlnm.Print_Area" localSheetId="0">'LIMP. '!$A$1:$I$53</definedName>
    <definedName name="_xlnm.Print_Area" localSheetId="1">'OFC. '!$A$1:$I$157</definedName>
    <definedName name="_xlnm.Print_Area" localSheetId="3">'SALUD '!$A$1:$I$22</definedName>
  </definedNames>
  <calcPr calcId="162913"/>
</workbook>
</file>

<file path=xl/calcChain.xml><?xml version="1.0" encoding="utf-8"?>
<calcChain xmlns="http://schemas.openxmlformats.org/spreadsheetml/2006/main">
  <c r="F142" i="13" l="1"/>
  <c r="I142" i="13" s="1"/>
  <c r="F143" i="13"/>
  <c r="I143" i="13" s="1"/>
  <c r="F144" i="13"/>
  <c r="I144" i="13" s="1"/>
  <c r="I145" i="13"/>
  <c r="F146" i="13"/>
  <c r="I146" i="13" s="1"/>
  <c r="I147" i="13"/>
  <c r="I148" i="13"/>
  <c r="I7" i="12" l="1"/>
  <c r="I18" i="12"/>
  <c r="I36" i="12"/>
  <c r="I34" i="12"/>
  <c r="I50" i="7" l="1"/>
  <c r="F19" i="13" l="1"/>
  <c r="F16" i="13"/>
  <c r="F43" i="12"/>
  <c r="F25" i="12"/>
  <c r="F22" i="12"/>
  <c r="F29" i="12"/>
  <c r="F40" i="13"/>
  <c r="F114" i="13"/>
  <c r="F102" i="13"/>
  <c r="F58" i="13"/>
  <c r="F27" i="13"/>
  <c r="F38" i="12"/>
  <c r="F37" i="12"/>
  <c r="F23" i="12"/>
  <c r="F60" i="13"/>
  <c r="F14" i="13"/>
  <c r="F27" i="12"/>
  <c r="F48" i="13"/>
  <c r="F20" i="12"/>
  <c r="F17" i="12"/>
  <c r="F40" i="12"/>
  <c r="F71" i="13"/>
  <c r="F35" i="12"/>
  <c r="F33" i="12"/>
  <c r="F90" i="13"/>
  <c r="F89" i="13"/>
  <c r="F99" i="13"/>
  <c r="F101" i="13"/>
  <c r="F39" i="12"/>
  <c r="F103" i="13"/>
  <c r="F97" i="13"/>
  <c r="F95" i="13"/>
  <c r="F85" i="13"/>
  <c r="F78" i="13"/>
  <c r="F84" i="13"/>
  <c r="F82" i="13"/>
  <c r="F80" i="13"/>
  <c r="F86" i="13"/>
  <c r="F69" i="13"/>
  <c r="F68" i="13"/>
  <c r="F61" i="13"/>
  <c r="F62" i="13"/>
  <c r="F54" i="13"/>
  <c r="F18" i="13"/>
  <c r="F49" i="13"/>
  <c r="F13" i="13"/>
  <c r="F44" i="13"/>
  <c r="F6" i="12"/>
  <c r="F33" i="13"/>
  <c r="F32" i="13"/>
  <c r="F24" i="13"/>
  <c r="F22" i="13"/>
  <c r="F20" i="13"/>
  <c r="F74" i="13"/>
  <c r="F64" i="13"/>
  <c r="F59" i="13"/>
  <c r="F52" i="13"/>
  <c r="F42" i="13"/>
  <c r="F36" i="13"/>
  <c r="F34" i="13"/>
  <c r="F29" i="13"/>
  <c r="F26" i="13"/>
  <c r="F8" i="13"/>
  <c r="F113" i="13"/>
  <c r="F115" i="13"/>
  <c r="F116" i="13"/>
  <c r="F110" i="13"/>
  <c r="F109" i="13"/>
  <c r="F98" i="13"/>
  <c r="F117" i="13"/>
  <c r="F11" i="5"/>
  <c r="I30" i="12" l="1"/>
  <c r="I28" i="12"/>
  <c r="I38" i="12"/>
  <c r="I24" i="12"/>
  <c r="I37" i="12"/>
  <c r="I39" i="12"/>
  <c r="I16" i="12"/>
  <c r="I26" i="12"/>
  <c r="I9" i="12"/>
  <c r="F42" i="12"/>
  <c r="I33" i="7"/>
  <c r="I34" i="7"/>
  <c r="I43" i="7"/>
  <c r="I94" i="13"/>
  <c r="I93" i="13"/>
  <c r="I10" i="7"/>
  <c r="I36" i="7"/>
  <c r="I21" i="12"/>
  <c r="I14" i="7"/>
  <c r="F19" i="12"/>
  <c r="F14" i="12"/>
  <c r="F10" i="12"/>
  <c r="F8" i="12"/>
  <c r="F47" i="7" l="1"/>
  <c r="F46" i="7"/>
  <c r="F49" i="7"/>
  <c r="F8" i="7"/>
  <c r="F9" i="7"/>
  <c r="F7" i="7"/>
  <c r="F31" i="7"/>
  <c r="F24" i="7"/>
  <c r="F17" i="7"/>
  <c r="F37" i="7" l="1"/>
  <c r="F16" i="7"/>
  <c r="F15" i="7"/>
  <c r="F27" i="7"/>
  <c r="F20" i="7"/>
  <c r="F26" i="7"/>
  <c r="F44" i="7"/>
  <c r="F48" i="7"/>
  <c r="F45" i="7"/>
  <c r="F41" i="7"/>
  <c r="F11" i="7"/>
  <c r="F18" i="7"/>
  <c r="F39" i="7"/>
  <c r="F40" i="7"/>
  <c r="F35" i="7"/>
  <c r="F19" i="7"/>
  <c r="F13" i="7"/>
  <c r="F23" i="7"/>
  <c r="F42" i="7"/>
  <c r="F28" i="7"/>
  <c r="F32" i="7" l="1"/>
  <c r="I49" i="7"/>
  <c r="F29" i="7" l="1"/>
  <c r="F111" i="13"/>
  <c r="F107" i="13"/>
  <c r="F100" i="13"/>
  <c r="F77" i="13"/>
  <c r="F15" i="13"/>
  <c r="F31" i="12"/>
  <c r="I15" i="7" l="1"/>
  <c r="I16" i="7"/>
  <c r="I21" i="7"/>
  <c r="I25" i="7"/>
  <c r="I38" i="7"/>
  <c r="F139" i="13" l="1"/>
  <c r="F136" i="13"/>
  <c r="F133" i="13"/>
  <c r="F130" i="13"/>
  <c r="F112" i="13"/>
  <c r="F92" i="13"/>
  <c r="F88" i="13"/>
  <c r="F66" i="13"/>
  <c r="F65" i="13"/>
  <c r="F53" i="13"/>
  <c r="F21" i="13"/>
  <c r="F10" i="13"/>
  <c r="F41" i="12" l="1"/>
  <c r="I37" i="7"/>
  <c r="I35" i="7"/>
  <c r="I31" i="7"/>
  <c r="I27" i="7"/>
  <c r="I26" i="7"/>
  <c r="I23" i="7"/>
  <c r="I20" i="7"/>
  <c r="I19" i="7"/>
  <c r="I17" i="7"/>
  <c r="I35" i="13" l="1"/>
  <c r="I17" i="13"/>
  <c r="I13" i="13"/>
  <c r="I81" i="13"/>
  <c r="I83" i="13"/>
  <c r="I84" i="13"/>
  <c r="I87" i="13"/>
  <c r="I57" i="13"/>
  <c r="I58" i="13"/>
  <c r="I59" i="13"/>
  <c r="I19" i="13"/>
  <c r="I51" i="13"/>
  <c r="I39" i="13"/>
  <c r="I31" i="13"/>
  <c r="I18" i="13"/>
  <c r="I48" i="13"/>
  <c r="I45" i="13"/>
  <c r="I43" i="13"/>
  <c r="I97" i="13"/>
  <c r="I96" i="13"/>
  <c r="I95" i="13"/>
  <c r="I63" i="13"/>
  <c r="I11" i="13"/>
  <c r="I9" i="13"/>
  <c r="I23" i="13"/>
  <c r="I79" i="13"/>
  <c r="I76" i="13"/>
  <c r="I55" i="13"/>
  <c r="I7" i="7"/>
  <c r="I99" i="13" l="1"/>
  <c r="I14" i="13"/>
  <c r="I89" i="13"/>
  <c r="I26" i="13"/>
  <c r="I85" i="13"/>
  <c r="I64" i="13"/>
  <c r="I25" i="13"/>
  <c r="I103" i="13"/>
  <c r="F127" i="13" l="1"/>
  <c r="F124" i="13"/>
  <c r="F121" i="13"/>
  <c r="F118" i="13"/>
  <c r="I82" i="13"/>
  <c r="I18" i="7" l="1"/>
  <c r="I28" i="7"/>
  <c r="F30" i="7"/>
  <c r="I30" i="7" s="1"/>
  <c r="I39" i="7" l="1"/>
  <c r="I40" i="7"/>
  <c r="I41" i="7"/>
  <c r="I11" i="7"/>
  <c r="I13" i="7" l="1"/>
  <c r="I48" i="7"/>
  <c r="I45" i="7" l="1"/>
  <c r="F37" i="13"/>
  <c r="I141" i="13" l="1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2" i="13"/>
  <c r="I101" i="13"/>
  <c r="I100" i="13"/>
  <c r="I98" i="13"/>
  <c r="I92" i="13"/>
  <c r="I91" i="13"/>
  <c r="I90" i="13"/>
  <c r="I88" i="13"/>
  <c r="I86" i="13"/>
  <c r="I80" i="13"/>
  <c r="I78" i="13"/>
  <c r="I77" i="13"/>
  <c r="I75" i="13"/>
  <c r="I74" i="13"/>
  <c r="F73" i="13"/>
  <c r="I73" i="13" s="1"/>
  <c r="I72" i="13"/>
  <c r="I71" i="13"/>
  <c r="I70" i="13"/>
  <c r="I69" i="13"/>
  <c r="I68" i="13"/>
  <c r="F67" i="13"/>
  <c r="I67" i="13" s="1"/>
  <c r="I66" i="13"/>
  <c r="I65" i="13"/>
  <c r="I62" i="13"/>
  <c r="I61" i="13"/>
  <c r="I60" i="13"/>
  <c r="F56" i="13"/>
  <c r="I56" i="13" s="1"/>
  <c r="I54" i="13"/>
  <c r="I53" i="13"/>
  <c r="I52" i="13"/>
  <c r="I50" i="13"/>
  <c r="I49" i="13"/>
  <c r="F47" i="13"/>
  <c r="I47" i="13" s="1"/>
  <c r="F46" i="13"/>
  <c r="I46" i="13" s="1"/>
  <c r="I44" i="13"/>
  <c r="I42" i="13"/>
  <c r="I41" i="13"/>
  <c r="I40" i="13"/>
  <c r="I38" i="13"/>
  <c r="I37" i="13"/>
  <c r="I36" i="13"/>
  <c r="I34" i="13"/>
  <c r="I33" i="13"/>
  <c r="I32" i="13"/>
  <c r="I30" i="13"/>
  <c r="I29" i="13"/>
  <c r="I28" i="13"/>
  <c r="I27" i="13"/>
  <c r="I24" i="13"/>
  <c r="I22" i="13"/>
  <c r="I21" i="13"/>
  <c r="I20" i="13"/>
  <c r="I16" i="13"/>
  <c r="I15" i="13"/>
  <c r="I12" i="13"/>
  <c r="I10" i="13"/>
  <c r="I8" i="13"/>
  <c r="I149" i="13" l="1"/>
  <c r="F12" i="12"/>
  <c r="I43" i="12" l="1"/>
  <c r="I42" i="12"/>
  <c r="I41" i="12"/>
  <c r="I40" i="12"/>
  <c r="I35" i="12"/>
  <c r="I33" i="12"/>
  <c r="I32" i="12"/>
  <c r="I31" i="12"/>
  <c r="I29" i="12"/>
  <c r="I27" i="12"/>
  <c r="I25" i="12"/>
  <c r="I23" i="12"/>
  <c r="I22" i="12"/>
  <c r="I20" i="12"/>
  <c r="I19" i="12"/>
  <c r="I17" i="12"/>
  <c r="I15" i="12"/>
  <c r="I14" i="12"/>
  <c r="I13" i="12"/>
  <c r="I12" i="12"/>
  <c r="I11" i="12"/>
  <c r="I10" i="12"/>
  <c r="I8" i="12"/>
  <c r="I6" i="12"/>
  <c r="I44" i="12" l="1"/>
  <c r="I12" i="7" l="1"/>
  <c r="I32" i="7" l="1"/>
  <c r="I24" i="7" l="1"/>
  <c r="I42" i="7" l="1"/>
  <c r="I29" i="7" l="1"/>
  <c r="F22" i="7" l="1"/>
  <c r="I22" i="7" s="1"/>
  <c r="I9" i="7" l="1"/>
  <c r="F6" i="7" l="1"/>
  <c r="I46" i="7" l="1"/>
  <c r="I47" i="7"/>
  <c r="I44" i="7"/>
  <c r="I8" i="7" l="1"/>
  <c r="I6" i="7" l="1"/>
  <c r="I11" i="5" l="1"/>
  <c r="I12" i="5" l="1"/>
</calcChain>
</file>

<file path=xl/sharedStrings.xml><?xml version="1.0" encoding="utf-8"?>
<sst xmlns="http://schemas.openxmlformats.org/spreadsheetml/2006/main" count="745" uniqueCount="323">
  <si>
    <t xml:space="preserve">No. </t>
  </si>
  <si>
    <t>DESCRIPCION</t>
  </si>
  <si>
    <t>CANTIDAD</t>
  </si>
  <si>
    <t>U/D</t>
  </si>
  <si>
    <t>GLS</t>
  </si>
  <si>
    <t>CUBETAS PLASTICAS</t>
  </si>
  <si>
    <t>PAQT.</t>
  </si>
  <si>
    <t xml:space="preserve">CLIPS PEQUEÑOS </t>
  </si>
  <si>
    <t xml:space="preserve">DISPENSADOR DE CINTAS </t>
  </si>
  <si>
    <t>GANCHO DE CARPETA MACHO Y HEMBRA</t>
  </si>
  <si>
    <t xml:space="preserve">GRAPAS GRANDES </t>
  </si>
  <si>
    <t>PORTA LAPIZ</t>
  </si>
  <si>
    <t>CORBATAS NEGRA</t>
  </si>
  <si>
    <t>CAJAS</t>
  </si>
  <si>
    <t>RESMA</t>
  </si>
  <si>
    <t>PRECIOS UNIT.</t>
  </si>
  <si>
    <t>TOTAL CANT.</t>
  </si>
  <si>
    <t>TOTAL FINAL $</t>
  </si>
  <si>
    <t>FECHA DE ADQUISICION /  REGISTRO</t>
  </si>
  <si>
    <t>FECHA ADQUISICION /  REGISTRO</t>
  </si>
  <si>
    <t xml:space="preserve">CHAMACOS GRIS CON SU GORRAS </t>
  </si>
  <si>
    <t>PRECIO UNITARIO</t>
  </si>
  <si>
    <t>REGLA 12"</t>
  </si>
  <si>
    <t xml:space="preserve">PAPEL TIMBRADO 8 1/2 X 11 </t>
  </si>
  <si>
    <t>DIRECCION GENERAL DE SEGURIDAD Y TRANSITO DE TRANSPORTE TERRESTRE</t>
  </si>
  <si>
    <t>PRECIO UD</t>
  </si>
  <si>
    <t>PAPEL PLOTERS 11X17</t>
  </si>
  <si>
    <t>LAPIZ</t>
  </si>
  <si>
    <t xml:space="preserve">PANTALONES VERDE OLIVO CON FRANJAS REFLECTIVAS </t>
  </si>
  <si>
    <t xml:space="preserve">                                                          </t>
  </si>
  <si>
    <t>CLIPS GRANDES</t>
  </si>
  <si>
    <t>RESALTADORES V/COLORES</t>
  </si>
  <si>
    <t>TIJERAS</t>
  </si>
  <si>
    <t>CLIPS BILLETEROS GRAND.</t>
  </si>
  <si>
    <t>SACAPUNTAS</t>
  </si>
  <si>
    <t>GRAPADORA GRANDE</t>
  </si>
  <si>
    <t xml:space="preserve">PORTA CLIP </t>
  </si>
  <si>
    <t xml:space="preserve">CINTA DE EMPAQUE </t>
  </si>
  <si>
    <t>POSTIT GRANDE 3X5</t>
  </si>
  <si>
    <t xml:space="preserve">CHALECOS MULTIUSOS </t>
  </si>
  <si>
    <t>LIBRETA RAYADA 5*8</t>
  </si>
  <si>
    <t xml:space="preserve"> 27/12/2019</t>
  </si>
  <si>
    <t xml:space="preserve">TALONARIOS SALIDA  DE ALMACEN </t>
  </si>
  <si>
    <t>VASOS No. 7</t>
  </si>
  <si>
    <t>GEL ANTIBACTERIAL</t>
  </si>
  <si>
    <t>TALONARIOS DE PEDIDO DE ALMACEN</t>
  </si>
  <si>
    <t>CORREAS NYLON NEGRA SIN HEBILLA</t>
  </si>
  <si>
    <t xml:space="preserve">TINTA PARA  SELLOS </t>
  </si>
  <si>
    <t xml:space="preserve">SUAPER </t>
  </si>
  <si>
    <t>GUANTES DE LIMPIEZA</t>
  </si>
  <si>
    <t>PAR</t>
  </si>
  <si>
    <t>ZAFACON DE BANO</t>
  </si>
  <si>
    <t xml:space="preserve">RECOGEDOR DE BASURA </t>
  </si>
  <si>
    <t>ESCOBILLAS DE INODORO</t>
  </si>
  <si>
    <t>SOBRES TIMBRADO NO. 10</t>
  </si>
  <si>
    <t>CLIP NO.1</t>
  </si>
  <si>
    <t>CLIP BILLETERO NO.1</t>
  </si>
  <si>
    <t>CLIP BILLETERO NO.2</t>
  </si>
  <si>
    <t xml:space="preserve">CHINCHETAS </t>
  </si>
  <si>
    <t>PERFORADORA DE DOS HOYOS</t>
  </si>
  <si>
    <t>PERFORADORA DE TRES HOYOS</t>
  </si>
  <si>
    <t xml:space="preserve">ARGOLLAS </t>
  </si>
  <si>
    <t>LIBRETAS DE APUNTES T/AGENDA</t>
  </si>
  <si>
    <t>BOLIGRAFOS EN GEL</t>
  </si>
  <si>
    <t xml:space="preserve">TONER HP CE285A </t>
  </si>
  <si>
    <t xml:space="preserve">TONER HP CF217A </t>
  </si>
  <si>
    <t xml:space="preserve">TONER HP CF283A </t>
  </si>
  <si>
    <t xml:space="preserve">TONER HP CB2435A </t>
  </si>
  <si>
    <t xml:space="preserve">TONER HP CF280A </t>
  </si>
  <si>
    <t xml:space="preserve">TINTA EPSON T544 BLACK  </t>
  </si>
  <si>
    <t xml:space="preserve">TINTA EPSON T544 CYAN  </t>
  </si>
  <si>
    <t xml:space="preserve">TINTA EPSON T544 YELLOW </t>
  </si>
  <si>
    <t>TINTA EPSON T544 MAGENTA</t>
  </si>
  <si>
    <t xml:space="preserve">TINTA EPSON T664 BLACK </t>
  </si>
  <si>
    <t>TINTA EPSON T664 CYAN</t>
  </si>
  <si>
    <t>TINTA EPSON T664  MAGENTA</t>
  </si>
  <si>
    <t>TINTA EPSON T664  YELLOW</t>
  </si>
  <si>
    <t>No.</t>
  </si>
  <si>
    <t>FECHA DE ADQUISICION Y REGISTRO</t>
  </si>
  <si>
    <t>JUEGO DE CUBRE COLCHON Y FORRO DE ALMOHADAS</t>
  </si>
  <si>
    <t xml:space="preserve"> INVENTARIO MATERIALES DE LIMPIEZA</t>
  </si>
  <si>
    <t xml:space="preserve"> INVENTARIO MATERIALES DE OFICINA</t>
  </si>
  <si>
    <t xml:space="preserve"> INVENTARIO PRENDAS DE VESTIR </t>
  </si>
  <si>
    <t xml:space="preserve"> INVENTARIO DE PRODUCTOS DE SALUD  </t>
  </si>
  <si>
    <t>CODIGO INST.</t>
  </si>
  <si>
    <t>01029</t>
  </si>
  <si>
    <t>01031</t>
  </si>
  <si>
    <t>01032</t>
  </si>
  <si>
    <t>FECHA DE  REGISTRO</t>
  </si>
  <si>
    <t>01005</t>
  </si>
  <si>
    <t>01024</t>
  </si>
  <si>
    <t>01030</t>
  </si>
  <si>
    <t>01033</t>
  </si>
  <si>
    <t>01017</t>
  </si>
  <si>
    <t>01020</t>
  </si>
  <si>
    <t>01021</t>
  </si>
  <si>
    <t>02092</t>
  </si>
  <si>
    <t>02106</t>
  </si>
  <si>
    <t>02108</t>
  </si>
  <si>
    <t>02009</t>
  </si>
  <si>
    <t>02010</t>
  </si>
  <si>
    <t>02096</t>
  </si>
  <si>
    <t>02118</t>
  </si>
  <si>
    <t>02119</t>
  </si>
  <si>
    <t>02028</t>
  </si>
  <si>
    <t>02029</t>
  </si>
  <si>
    <t>02120</t>
  </si>
  <si>
    <t>02031</t>
  </si>
  <si>
    <t>02121</t>
  </si>
  <si>
    <t>02033</t>
  </si>
  <si>
    <t>02039</t>
  </si>
  <si>
    <t>02098</t>
  </si>
  <si>
    <t>02042</t>
  </si>
  <si>
    <t>02044</t>
  </si>
  <si>
    <t>02126</t>
  </si>
  <si>
    <t>02045</t>
  </si>
  <si>
    <t>02046</t>
  </si>
  <si>
    <t>02129</t>
  </si>
  <si>
    <t>02049</t>
  </si>
  <si>
    <t>02099</t>
  </si>
  <si>
    <t>02050</t>
  </si>
  <si>
    <t>02130</t>
  </si>
  <si>
    <t>02131</t>
  </si>
  <si>
    <t>02100</t>
  </si>
  <si>
    <t>02056</t>
  </si>
  <si>
    <t>02057</t>
  </si>
  <si>
    <t>02059</t>
  </si>
  <si>
    <t>02060</t>
  </si>
  <si>
    <t>02061</t>
  </si>
  <si>
    <t>02134</t>
  </si>
  <si>
    <t>02066</t>
  </si>
  <si>
    <t>02067</t>
  </si>
  <si>
    <t>02102</t>
  </si>
  <si>
    <t>02068</t>
  </si>
  <si>
    <t>02136</t>
  </si>
  <si>
    <t>02137</t>
  </si>
  <si>
    <t>02138</t>
  </si>
  <si>
    <t>02140</t>
  </si>
  <si>
    <t>02141</t>
  </si>
  <si>
    <t>02143</t>
  </si>
  <si>
    <t>02144</t>
  </si>
  <si>
    <t>02145</t>
  </si>
  <si>
    <t>02146</t>
  </si>
  <si>
    <t>02147</t>
  </si>
  <si>
    <t>02148</t>
  </si>
  <si>
    <t>02149</t>
  </si>
  <si>
    <t>CAMISETAS COLOR BLANCO</t>
  </si>
  <si>
    <t>03005</t>
  </si>
  <si>
    <t>03038</t>
  </si>
  <si>
    <t>CINTURONES CON SUS ACCESORIAS</t>
  </si>
  <si>
    <t>03015</t>
  </si>
  <si>
    <t>03016</t>
  </si>
  <si>
    <t>03035</t>
  </si>
  <si>
    <t>03037</t>
  </si>
  <si>
    <t>03020</t>
  </si>
  <si>
    <t>03027</t>
  </si>
  <si>
    <t>03002</t>
  </si>
  <si>
    <t>03018</t>
  </si>
  <si>
    <t>03040</t>
  </si>
  <si>
    <t>03022</t>
  </si>
  <si>
    <t xml:space="preserve">                                                    </t>
  </si>
  <si>
    <t>LIBRETAS RAYADAS 8 1/2 X 11</t>
  </si>
  <si>
    <t>PAPEL PLOTERS 24 x 150´´</t>
  </si>
  <si>
    <t>PAPEL PLOTERS 36 x 150´´</t>
  </si>
  <si>
    <t>02053</t>
  </si>
  <si>
    <t>PAPEL BOND 8 1/2 X 14 BLANCO</t>
  </si>
  <si>
    <t>TINTA 51 BLACK</t>
  </si>
  <si>
    <t>02154</t>
  </si>
  <si>
    <t>02155</t>
  </si>
  <si>
    <t>02156</t>
  </si>
  <si>
    <t>02157</t>
  </si>
  <si>
    <t>TINTA 51 CYAN</t>
  </si>
  <si>
    <t>TINTA 52 YELLOW</t>
  </si>
  <si>
    <t>TINTA 52 MAGENTA</t>
  </si>
  <si>
    <t>KIT DE BENGALAS REFLECTIVAS</t>
  </si>
  <si>
    <t>CONOS CON LOGO DIGESETT</t>
  </si>
  <si>
    <t>FRAZADA DE LANA TIPO MILITAR</t>
  </si>
  <si>
    <t>BANDERAS INSTITUCIONALES 4 X 6 (GRANDE)</t>
  </si>
  <si>
    <t>GUANTES REFLECTIVOS</t>
  </si>
  <si>
    <t>LIMPIADOR DE CERAMICA</t>
  </si>
  <si>
    <t>DETERGENTE EN POLVO</t>
  </si>
  <si>
    <t>YD</t>
  </si>
  <si>
    <t>DESINFECTANTE LIQUIDO</t>
  </si>
  <si>
    <t xml:space="preserve">MARCADORES </t>
  </si>
  <si>
    <t>ROLLO DE PAPEL SUMADORA</t>
  </si>
  <si>
    <t>TABLA DE CHEQUEO</t>
  </si>
  <si>
    <t>GRAPA 0.25</t>
  </si>
  <si>
    <t>CERA PARA CONTAR</t>
  </si>
  <si>
    <t>01027</t>
  </si>
  <si>
    <t>01026</t>
  </si>
  <si>
    <t>03014</t>
  </si>
  <si>
    <t>03036</t>
  </si>
  <si>
    <t>03044</t>
  </si>
  <si>
    <t>03045</t>
  </si>
  <si>
    <t>02135</t>
  </si>
  <si>
    <t>02054</t>
  </si>
  <si>
    <t>02142</t>
  </si>
  <si>
    <t>02163</t>
  </si>
  <si>
    <t>02093</t>
  </si>
  <si>
    <t>SACO</t>
  </si>
  <si>
    <t>03048</t>
  </si>
  <si>
    <t>ROLLO</t>
  </si>
  <si>
    <t>01003</t>
  </si>
  <si>
    <t>CEPILLO DE PARED</t>
  </si>
  <si>
    <t>ESCOBA PLASTICA CON PALO DE MD.</t>
  </si>
  <si>
    <t>01004</t>
  </si>
  <si>
    <t>01025</t>
  </si>
  <si>
    <t>01028</t>
  </si>
  <si>
    <t>01034</t>
  </si>
  <si>
    <t>03019</t>
  </si>
  <si>
    <t xml:space="preserve">SOGA DE NYLON 10MM, VARIOS COLORES </t>
  </si>
  <si>
    <t xml:space="preserve">BORRAS </t>
  </si>
  <si>
    <t xml:space="preserve">ARCHIVO ACORDEON 8 1/2 X 11 </t>
  </si>
  <si>
    <t>LABEL ADHESIVO PARA FOLDER 10/1</t>
  </si>
  <si>
    <t>02160</t>
  </si>
  <si>
    <t>CAMISAS MANGA CORTA</t>
  </si>
  <si>
    <t>01040</t>
  </si>
  <si>
    <t>BRILLO VERDE 10/1</t>
  </si>
  <si>
    <t>BINDER NO. 10 COLOR VERDE</t>
  </si>
  <si>
    <t>02109</t>
  </si>
  <si>
    <t>03009</t>
  </si>
  <si>
    <t>02094</t>
  </si>
  <si>
    <t>NOVAS MEDINA, DAIRYS M.</t>
  </si>
  <si>
    <t>BANDERAS NACIONAL 4 X 6 (GRANDE)</t>
  </si>
  <si>
    <t>03004</t>
  </si>
  <si>
    <t>03026</t>
  </si>
  <si>
    <t>OVEROL DIGESETT PARA GRUEROS</t>
  </si>
  <si>
    <t>PAPEL TIMBRADO 8 1/2 X 14</t>
  </si>
  <si>
    <t>BOTAS TIPO POLICIAL O MILITAR</t>
  </si>
  <si>
    <t>PITO CON PORTA PITO Y CADENA PARA PITO</t>
  </si>
  <si>
    <t>TONER HP 278</t>
  </si>
  <si>
    <t>CARTUCHO CYAN(4836A)</t>
  </si>
  <si>
    <t>CARTUCHO MARGETA(4837A)</t>
  </si>
  <si>
    <t>CARTUCHO YELLOW(4838A)</t>
  </si>
  <si>
    <t>FOLDERS MANILA 8 1/2 X 11   1/100</t>
  </si>
  <si>
    <t>FOLDERS MANILA 8 1/2 X 14   1/100</t>
  </si>
  <si>
    <t>FOLDERS PARTITION DE 6 DIV. AZUL 1/16</t>
  </si>
  <si>
    <t>AMBIENTADOR EN SPRAY</t>
  </si>
  <si>
    <t>ZAFACON DE OFICINA</t>
  </si>
  <si>
    <t>03008</t>
  </si>
  <si>
    <t>01023</t>
  </si>
  <si>
    <t>02139</t>
  </si>
  <si>
    <t>02124</t>
  </si>
  <si>
    <t>02125</t>
  </si>
  <si>
    <t>02122</t>
  </si>
  <si>
    <t>02011</t>
  </si>
  <si>
    <t>03039</t>
  </si>
  <si>
    <t>ARCHIVO ACORDEON 8 1/2 X 14</t>
  </si>
  <si>
    <t>_____________________________</t>
  </si>
  <si>
    <t>Enc. Division de Almacen y Suministro, DIGESETT.</t>
  </si>
  <si>
    <t>BOTAS TIPO MOTORIZADAS ALTAS</t>
  </si>
  <si>
    <t>02052</t>
  </si>
  <si>
    <t>PAPEL BOND 8 1/2 X 11 BLANCO</t>
  </si>
  <si>
    <t>02058</t>
  </si>
  <si>
    <t>CINTA ADHESIVA</t>
  </si>
  <si>
    <t>GORRAS VERDES DIGESETT</t>
  </si>
  <si>
    <t xml:space="preserve">CHALECOS REFLECTIVO </t>
  </si>
  <si>
    <t>POSTIT MEDIANO 3X3</t>
  </si>
  <si>
    <t xml:space="preserve">LANILLA DE ALGODÓN </t>
  </si>
  <si>
    <t>PAPEL TOALLA JUMBO 6/1</t>
  </si>
  <si>
    <t xml:space="preserve">CLORO </t>
  </si>
  <si>
    <t>DESGRASANTE</t>
  </si>
  <si>
    <t>GAL</t>
  </si>
  <si>
    <t xml:space="preserve">JABON LIQUIDO </t>
  </si>
  <si>
    <t xml:space="preserve">CAMISAS MANGAS LARGAS </t>
  </si>
  <si>
    <t>03010</t>
  </si>
  <si>
    <t>CINTA A COLOR YMCKO EVOLIS HIGHTRST</t>
  </si>
  <si>
    <t>02117</t>
  </si>
  <si>
    <t xml:space="preserve">ALMOHADAS SEGÚN MUESTRA </t>
  </si>
  <si>
    <t xml:space="preserve">CHAMACO DE FAENA PARA ENTRENAMIENTO </t>
  </si>
  <si>
    <t xml:space="preserve">CORREAS NEGRAS CON HEBILLAS </t>
  </si>
  <si>
    <t>ZAPATOS TIPO POLICIAL O MILITAR</t>
  </si>
  <si>
    <t>03007</t>
  </si>
  <si>
    <t>CAPA DE LLUVIA</t>
  </si>
  <si>
    <t>BRASIELES</t>
  </si>
  <si>
    <t>03041</t>
  </si>
  <si>
    <t>CALZONCILLOS TIPO BOXER</t>
  </si>
  <si>
    <t>PARES DE MEDIAS GRUESAS COLOR NEGRO</t>
  </si>
  <si>
    <t>PARES DE MEDIAS FINAS COLOR NEGRO</t>
  </si>
  <si>
    <t>PANTIS PARA DAMAS</t>
  </si>
  <si>
    <t>03011</t>
  </si>
  <si>
    <t>03043</t>
  </si>
  <si>
    <t>03028</t>
  </si>
  <si>
    <t>03046</t>
  </si>
  <si>
    <t>PAPEL HIGIENICO 12/1</t>
  </si>
  <si>
    <t>CORECTOR LIQUIDO</t>
  </si>
  <si>
    <t>SACA GRAPA</t>
  </si>
  <si>
    <t>BANDA ELASTICAS</t>
  </si>
  <si>
    <t>BASTON DE TRAFICO CON LUCES LED MULTIUSOS</t>
  </si>
  <si>
    <t>SOBRE MANILA 9X12 500/1</t>
  </si>
  <si>
    <t>SOBRE MANILA 10X13 500/1</t>
  </si>
  <si>
    <t>SOBRE MANILA NO.7 100/1</t>
  </si>
  <si>
    <t xml:space="preserve">BOLIGRAFOS </t>
  </si>
  <si>
    <t>LIBRO RECORD 500 PAG.</t>
  </si>
  <si>
    <t>LIBRO RECORD 300 PAG.</t>
  </si>
  <si>
    <t xml:space="preserve">LABEL ADHESIVO PARA FOLDER </t>
  </si>
  <si>
    <t>POSTIT MEDIANO 2X3</t>
  </si>
  <si>
    <t>BANDEJA DE ESCRITORIO 2 NIVELES</t>
  </si>
  <si>
    <t>03003</t>
  </si>
  <si>
    <t>02002</t>
  </si>
  <si>
    <t>02003</t>
  </si>
  <si>
    <t>02032</t>
  </si>
  <si>
    <t>02127</t>
  </si>
  <si>
    <t>02128</t>
  </si>
  <si>
    <t>02101</t>
  </si>
  <si>
    <t>02103</t>
  </si>
  <si>
    <t>02133</t>
  </si>
  <si>
    <t>02064</t>
  </si>
  <si>
    <t>02062</t>
  </si>
  <si>
    <t xml:space="preserve">COLCHONES DE GOMA TIPO MILITAR </t>
  </si>
  <si>
    <t>CAJA</t>
  </si>
  <si>
    <t>SOBRES EN HILO TIMBRADO NO. 10</t>
  </si>
  <si>
    <t>T-02050</t>
  </si>
  <si>
    <t xml:space="preserve">PAPEL EN HILO, TIMBRADO 8 1/2 X 11 </t>
  </si>
  <si>
    <t>GUANTES BLANCOS</t>
  </si>
  <si>
    <t>SERVILLETAS</t>
  </si>
  <si>
    <t>FALDO</t>
  </si>
  <si>
    <t>ANGEL RAMON VICENTE JEREZ</t>
  </si>
  <si>
    <t>CAPITAN, P.N.</t>
  </si>
  <si>
    <t>01018</t>
  </si>
  <si>
    <t>FOLDERS PARTITION DE 6 DIV. ROJO 1/16</t>
  </si>
  <si>
    <t>19/12/2023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</si>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</sst>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\ _€_-;\-* #,##0.0\ _€_-;_-* &quot;-&quot;??\ _€_-;_-@_-"/>
    <numFmt numFmtId="169" formatCode="ddd\-dd\-mmm\-yyyy"/>
    <numFmt numFmtId="170" formatCode="0.000"/>
  </numFmts>
  <fonts count="2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u/>
      <sz val="9"/>
      <name val="Times New Roman"/>
      <family val="1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0" fontId="14" fillId="0" borderId="0"/>
    <xf numFmtId="0" fontId="14" fillId="0" borderId="0"/>
    <xf numFmtId="44" fontId="4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6" fillId="0" borderId="1" xfId="0" applyFont="1" applyBorder="1"/>
    <xf numFmtId="166" fontId="5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0" fillId="2" borderId="0" xfId="0" applyFont="1" applyFill="1"/>
    <xf numFmtId="0" fontId="6" fillId="0" borderId="0" xfId="0" applyFont="1" applyBorder="1"/>
    <xf numFmtId="166" fontId="7" fillId="2" borderId="1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6" fontId="7" fillId="2" borderId="1" xfId="1" applyFont="1" applyFill="1" applyBorder="1" applyAlignment="1">
      <alignment horizontal="center" vertical="center"/>
    </xf>
    <xf numFmtId="0" fontId="3" fillId="2" borderId="0" xfId="0" applyFont="1" applyFill="1"/>
    <xf numFmtId="14" fontId="7" fillId="2" borderId="5" xfId="0" applyNumberFormat="1" applyFont="1" applyFill="1" applyBorder="1" applyAlignment="1">
      <alignment horizontal="center"/>
    </xf>
    <xf numFmtId="166" fontId="7" fillId="2" borderId="5" xfId="1" applyFont="1" applyFill="1" applyBorder="1"/>
    <xf numFmtId="165" fontId="0" fillId="0" borderId="0" xfId="0" applyNumberForma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3" fillId="2" borderId="0" xfId="0" applyNumberFormat="1" applyFont="1" applyFill="1"/>
    <xf numFmtId="0" fontId="13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6" fontId="6" fillId="0" borderId="0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0" fontId="3" fillId="0" borderId="2" xfId="0" applyFont="1" applyFill="1" applyBorder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165" fontId="10" fillId="2" borderId="0" xfId="0" applyNumberFormat="1" applyFont="1" applyFill="1"/>
    <xf numFmtId="166" fontId="6" fillId="2" borderId="4" xfId="0" applyNumberFormat="1" applyFont="1" applyFill="1" applyBorder="1" applyAlignment="1"/>
    <xf numFmtId="166" fontId="6" fillId="2" borderId="4" xfId="0" applyNumberFormat="1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6" fontId="7" fillId="0" borderId="0" xfId="1" applyFont="1" applyFill="1" applyBorder="1" applyAlignment="1">
      <alignment horizontal="center" vertical="center"/>
    </xf>
    <xf numFmtId="166" fontId="7" fillId="0" borderId="0" xfId="1" applyFont="1" applyFill="1" applyBorder="1"/>
    <xf numFmtId="0" fontId="3" fillId="0" borderId="0" xfId="0" applyFont="1" applyFill="1" applyBorder="1"/>
    <xf numFmtId="166" fontId="0" fillId="0" borderId="0" xfId="0" applyNumberFormat="1" applyFill="1" applyBorder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166" fontId="5" fillId="0" borderId="0" xfId="0" applyNumberFormat="1" applyFont="1" applyBorder="1"/>
    <xf numFmtId="0" fontId="0" fillId="0" borderId="0" xfId="0" applyAlignment="1"/>
    <xf numFmtId="0" fontId="3" fillId="0" borderId="0" xfId="0" applyFont="1" applyFill="1" applyAlignment="1"/>
    <xf numFmtId="0" fontId="6" fillId="2" borderId="0" xfId="0" applyFont="1" applyFill="1" applyBorder="1"/>
    <xf numFmtId="166" fontId="6" fillId="2" borderId="0" xfId="0" applyNumberFormat="1" applyFont="1" applyFill="1" applyBorder="1" applyAlignment="1"/>
    <xf numFmtId="169" fontId="18" fillId="2" borderId="0" xfId="3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/>
    </xf>
    <xf numFmtId="166" fontId="6" fillId="2" borderId="0" xfId="0" applyNumberFormat="1" applyFont="1" applyFill="1" applyBorder="1"/>
    <xf numFmtId="0" fontId="3" fillId="0" borderId="0" xfId="0" applyFont="1" applyAlignment="1"/>
    <xf numFmtId="0" fontId="10" fillId="0" borderId="0" xfId="0" applyFont="1"/>
    <xf numFmtId="0" fontId="0" fillId="0" borderId="0" xfId="0" applyAlignment="1">
      <alignment horizontal="center" vertical="center"/>
    </xf>
    <xf numFmtId="0" fontId="10" fillId="2" borderId="0" xfId="0" applyFont="1" applyFill="1" applyBorder="1"/>
    <xf numFmtId="164" fontId="10" fillId="2" borderId="0" xfId="0" applyNumberFormat="1" applyFont="1" applyFill="1"/>
    <xf numFmtId="0" fontId="0" fillId="0" borderId="0" xfId="0" applyAlignment="1">
      <alignment vertical="center"/>
    </xf>
    <xf numFmtId="0" fontId="22" fillId="2" borderId="0" xfId="0" applyFont="1" applyFill="1"/>
    <xf numFmtId="0" fontId="21" fillId="2" borderId="0" xfId="0" applyFont="1" applyFill="1"/>
    <xf numFmtId="0" fontId="9" fillId="2" borderId="0" xfId="0" applyFont="1" applyFill="1"/>
    <xf numFmtId="166" fontId="7" fillId="2" borderId="1" xfId="1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66" fontId="3" fillId="2" borderId="1" xfId="1" applyFont="1" applyFill="1" applyBorder="1"/>
    <xf numFmtId="44" fontId="21" fillId="2" borderId="0" xfId="4" applyFont="1" applyFill="1"/>
    <xf numFmtId="0" fontId="9" fillId="2" borderId="0" xfId="0" applyFont="1" applyFill="1" applyBorder="1"/>
    <xf numFmtId="166" fontId="7" fillId="2" borderId="0" xfId="1" applyFont="1" applyFill="1" applyBorder="1" applyAlignment="1">
      <alignment horizontal="center" vertical="center"/>
    </xf>
    <xf numFmtId="166" fontId="7" fillId="2" borderId="0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166" fontId="9" fillId="2" borderId="0" xfId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6" fontId="7" fillId="0" borderId="2" xfId="1" applyFont="1" applyFill="1" applyBorder="1" applyAlignment="1">
      <alignment horizontal="center" vertical="center"/>
    </xf>
    <xf numFmtId="166" fontId="7" fillId="0" borderId="1" xfId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166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6" fontId="6" fillId="0" borderId="4" xfId="0" applyNumberFormat="1" applyFont="1" applyFill="1" applyBorder="1"/>
    <xf numFmtId="0" fontId="23" fillId="2" borderId="0" xfId="0" applyFont="1" applyFill="1"/>
    <xf numFmtId="0" fontId="10" fillId="0" borderId="0" xfId="0" applyFont="1" applyFill="1"/>
    <xf numFmtId="0" fontId="10" fillId="0" borderId="0" xfId="0" applyFont="1" applyBorder="1"/>
    <xf numFmtId="0" fontId="24" fillId="2" borderId="0" xfId="0" applyFont="1" applyFill="1"/>
    <xf numFmtId="43" fontId="3" fillId="0" borderId="0" xfId="0" applyNumberFormat="1" applyFont="1" applyFill="1"/>
    <xf numFmtId="43" fontId="0" fillId="0" borderId="0" xfId="0" applyNumberFormat="1"/>
    <xf numFmtId="0" fontId="9" fillId="0" borderId="0" xfId="0" applyFont="1" applyFill="1"/>
    <xf numFmtId="0" fontId="21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5" fillId="0" borderId="0" xfId="2" applyFont="1" applyFill="1" applyBorder="1" applyAlignment="1"/>
    <xf numFmtId="0" fontId="10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horizontal="center"/>
    </xf>
    <xf numFmtId="166" fontId="3" fillId="0" borderId="1" xfId="1" applyFont="1" applyFill="1" applyBorder="1"/>
    <xf numFmtId="0" fontId="2" fillId="0" borderId="1" xfId="0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66" fontId="7" fillId="0" borderId="2" xfId="1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166" fontId="7" fillId="0" borderId="1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166" fontId="7" fillId="0" borderId="5" xfId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166" fontId="7" fillId="0" borderId="1" xfId="1" applyFont="1" applyFill="1" applyBorder="1"/>
    <xf numFmtId="0" fontId="2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center" vertical="center"/>
    </xf>
    <xf numFmtId="170" fontId="7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68" fontId="7" fillId="0" borderId="2" xfId="1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16" fillId="2" borderId="0" xfId="0" applyNumberFormat="1" applyFont="1" applyFill="1" applyBorder="1" applyAlignment="1">
      <alignment horizontal="center"/>
    </xf>
    <xf numFmtId="169" fontId="17" fillId="2" borderId="0" xfId="0" applyNumberFormat="1" applyFont="1" applyFill="1" applyBorder="1" applyAlignment="1">
      <alignment horizontal="center"/>
    </xf>
    <xf numFmtId="0" fontId="20" fillId="2" borderId="0" xfId="3" applyFont="1" applyFill="1" applyBorder="1" applyAlignment="1">
      <alignment horizontal="center"/>
    </xf>
    <xf numFmtId="169" fontId="17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" fontId="2" fillId="0" borderId="7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">
    <cellStyle name="Millares" xfId="1" builtinId="3"/>
    <cellStyle name="Moneda" xfId="4" builtinId="4"/>
    <cellStyle name="Normal" xfId="0" builtinId="0"/>
    <cellStyle name="Normal 2" xfId="2"/>
    <cellStyle name="Normal 2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211665</xdr:rowOff>
    </xdr:from>
    <xdr:to>
      <xdr:col>4</xdr:col>
      <xdr:colOff>1926167</xdr:colOff>
      <xdr:row>0</xdr:row>
      <xdr:rowOff>1534582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11665"/>
          <a:ext cx="1668992" cy="1322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505883</xdr:colOff>
      <xdr:row>0</xdr:row>
      <xdr:rowOff>152400</xdr:rowOff>
    </xdr:from>
    <xdr:ext cx="1294342" cy="952500"/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483" y="152400"/>
          <a:ext cx="1294342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590551</xdr:colOff>
      <xdr:row>0</xdr:row>
      <xdr:rowOff>31751</xdr:rowOff>
    </xdr:from>
    <xdr:to>
      <xdr:col>4</xdr:col>
      <xdr:colOff>1905000</xdr:colOff>
      <xdr:row>0</xdr:row>
      <xdr:rowOff>793751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884" y="31751"/>
          <a:ext cx="1314449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76200</xdr:rowOff>
    </xdr:from>
    <xdr:to>
      <xdr:col>5</xdr:col>
      <xdr:colOff>47625</xdr:colOff>
      <xdr:row>5</xdr:row>
      <xdr:rowOff>152400</xdr:rowOff>
    </xdr:to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6200"/>
          <a:ext cx="14192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90" zoomScaleNormal="90" workbookViewId="0">
      <selection activeCell="A4" sqref="A4:I4"/>
    </sheetView>
  </sheetViews>
  <sheetFormatPr baseColWidth="10" defaultRowHeight="15" x14ac:dyDescent="0.25"/>
  <cols>
    <col min="1" max="1" width="7" style="117" customWidth="1"/>
    <col min="2" max="2" width="14.7109375" customWidth="1"/>
    <col min="3" max="3" width="12.140625" customWidth="1"/>
    <col min="4" max="4" width="11.140625" customWidth="1"/>
    <col min="5" max="5" width="31.7109375" customWidth="1"/>
    <col min="6" max="6" width="7.28515625" bestFit="1" customWidth="1"/>
    <col min="7" max="7" width="8.42578125" customWidth="1"/>
    <col min="8" max="8" width="13.5703125" customWidth="1"/>
    <col min="9" max="9" width="17.85546875" customWidth="1"/>
    <col min="10" max="10" width="11.42578125" customWidth="1"/>
  </cols>
  <sheetData>
    <row r="1" spans="1:9" ht="123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</row>
    <row r="2" spans="1:9" ht="21" x14ac:dyDescent="0.35">
      <c r="A2" s="164" t="s">
        <v>24</v>
      </c>
      <c r="B2" s="164"/>
      <c r="C2" s="164"/>
      <c r="D2" s="164"/>
      <c r="E2" s="164"/>
      <c r="F2" s="164"/>
      <c r="G2" s="164"/>
      <c r="H2" s="164"/>
      <c r="I2" s="164"/>
    </row>
    <row r="3" spans="1:9" ht="13.5" customHeight="1" x14ac:dyDescent="0.25">
      <c r="A3" s="165" t="s">
        <v>80</v>
      </c>
      <c r="B3" s="165"/>
      <c r="C3" s="165"/>
      <c r="D3" s="165"/>
      <c r="E3" s="165"/>
      <c r="F3" s="165"/>
      <c r="G3" s="165"/>
      <c r="H3" s="165"/>
      <c r="I3" s="165"/>
    </row>
    <row r="4" spans="1:9" ht="14.25" customHeight="1" x14ac:dyDescent="0.25">
      <c r="A4" s="166" t="s">
        <v>322</v>
      </c>
      <c r="B4" s="166"/>
      <c r="C4" s="166"/>
      <c r="D4" s="166"/>
      <c r="E4" s="166"/>
      <c r="F4" s="166"/>
      <c r="G4" s="166"/>
      <c r="H4" s="166"/>
      <c r="I4" s="166"/>
    </row>
    <row r="5" spans="1:9" ht="42.75" customHeight="1" x14ac:dyDescent="0.25">
      <c r="A5" s="120" t="s">
        <v>0</v>
      </c>
      <c r="B5" s="132" t="s">
        <v>18</v>
      </c>
      <c r="C5" s="132" t="s">
        <v>88</v>
      </c>
      <c r="D5" s="133" t="s">
        <v>84</v>
      </c>
      <c r="E5" s="134" t="s">
        <v>1</v>
      </c>
      <c r="F5" s="167" t="s">
        <v>2</v>
      </c>
      <c r="G5" s="167"/>
      <c r="H5" s="134" t="s">
        <v>25</v>
      </c>
      <c r="I5" s="135" t="s">
        <v>16</v>
      </c>
    </row>
    <row r="6" spans="1:9" s="70" customFormat="1" ht="14.25" customHeight="1" x14ac:dyDescent="0.25">
      <c r="A6" s="81">
        <v>1</v>
      </c>
      <c r="B6" s="82">
        <v>45105</v>
      </c>
      <c r="C6" s="82">
        <v>45105</v>
      </c>
      <c r="D6" s="148" t="s">
        <v>240</v>
      </c>
      <c r="E6" s="149" t="s">
        <v>237</v>
      </c>
      <c r="F6" s="150">
        <f>100-1-32-6-35</f>
        <v>26</v>
      </c>
      <c r="G6" s="150" t="s">
        <v>3</v>
      </c>
      <c r="H6" s="150">
        <v>124.018</v>
      </c>
      <c r="I6" s="83">
        <f>F6*H6</f>
        <v>3224.4679999999998</v>
      </c>
    </row>
    <row r="7" spans="1:9" s="70" customFormat="1" ht="14.25" customHeight="1" x14ac:dyDescent="0.25">
      <c r="A7" s="81">
        <v>2</v>
      </c>
      <c r="B7" s="82">
        <v>45287</v>
      </c>
      <c r="C7" s="82">
        <v>45287</v>
      </c>
      <c r="D7" s="148" t="s">
        <v>240</v>
      </c>
      <c r="E7" s="149" t="s">
        <v>237</v>
      </c>
      <c r="F7" s="150">
        <v>300</v>
      </c>
      <c r="G7" s="150" t="s">
        <v>3</v>
      </c>
      <c r="H7" s="150">
        <v>123.9</v>
      </c>
      <c r="I7" s="83">
        <f>F7*H7</f>
        <v>37170</v>
      </c>
    </row>
    <row r="8" spans="1:9" s="75" customFormat="1" ht="17.25" customHeight="1" x14ac:dyDescent="0.25">
      <c r="A8" s="81">
        <v>3</v>
      </c>
      <c r="B8" s="82">
        <v>44918</v>
      </c>
      <c r="C8" s="82">
        <v>44918</v>
      </c>
      <c r="D8" s="148" t="s">
        <v>202</v>
      </c>
      <c r="E8" s="151" t="s">
        <v>180</v>
      </c>
      <c r="F8" s="150">
        <f>30-5-3-3</f>
        <v>19</v>
      </c>
      <c r="G8" s="150" t="s">
        <v>199</v>
      </c>
      <c r="H8" s="150">
        <v>1524.56</v>
      </c>
      <c r="I8" s="83">
        <f>F8*H8</f>
        <v>28966.639999999999</v>
      </c>
    </row>
    <row r="9" spans="1:9" s="75" customFormat="1" ht="17.25" customHeight="1" x14ac:dyDescent="0.25">
      <c r="A9" s="81">
        <v>4</v>
      </c>
      <c r="B9" s="82">
        <v>45287</v>
      </c>
      <c r="C9" s="82">
        <v>45287</v>
      </c>
      <c r="D9" s="148" t="s">
        <v>202</v>
      </c>
      <c r="E9" s="151" t="s">
        <v>180</v>
      </c>
      <c r="F9" s="150">
        <v>30</v>
      </c>
      <c r="G9" s="150" t="s">
        <v>199</v>
      </c>
      <c r="H9" s="83">
        <v>1062</v>
      </c>
      <c r="I9" s="83">
        <f>F9*H9</f>
        <v>31860</v>
      </c>
    </row>
    <row r="10" spans="1:9" s="8" customFormat="1" ht="15.75" x14ac:dyDescent="0.25">
      <c r="A10" s="81">
        <v>5</v>
      </c>
      <c r="B10" s="82">
        <v>44784</v>
      </c>
      <c r="C10" s="82">
        <v>44784</v>
      </c>
      <c r="D10" s="148" t="s">
        <v>208</v>
      </c>
      <c r="E10" s="152" t="s">
        <v>217</v>
      </c>
      <c r="F10" s="81">
        <f>100-10-6-8-1</f>
        <v>75</v>
      </c>
      <c r="G10" s="81" t="s">
        <v>6</v>
      </c>
      <c r="H10" s="83">
        <v>342.2</v>
      </c>
      <c r="I10" s="83">
        <f t="shared" ref="I10:I43" si="0">F10*H10</f>
        <v>25665</v>
      </c>
    </row>
    <row r="11" spans="1:9" s="75" customFormat="1" ht="15.75" x14ac:dyDescent="0.25">
      <c r="A11" s="81">
        <v>6</v>
      </c>
      <c r="B11" s="82">
        <v>44922</v>
      </c>
      <c r="C11" s="82">
        <v>44922</v>
      </c>
      <c r="D11" s="148" t="s">
        <v>208</v>
      </c>
      <c r="E11" s="152" t="s">
        <v>217</v>
      </c>
      <c r="F11" s="81">
        <v>85</v>
      </c>
      <c r="G11" s="81" t="s">
        <v>6</v>
      </c>
      <c r="H11" s="83">
        <v>62.658000000000001</v>
      </c>
      <c r="I11" s="83">
        <f t="shared" si="0"/>
        <v>5325.93</v>
      </c>
    </row>
    <row r="12" spans="1:9" s="8" customFormat="1" ht="15.75" x14ac:dyDescent="0.25">
      <c r="A12" s="81">
        <v>7</v>
      </c>
      <c r="B12" s="82">
        <v>44634</v>
      </c>
      <c r="C12" s="82">
        <v>44634</v>
      </c>
      <c r="D12" s="148" t="s">
        <v>205</v>
      </c>
      <c r="E12" s="152" t="s">
        <v>203</v>
      </c>
      <c r="F12" s="81">
        <f>100-2-11-7-4-15-2-6-5-3</f>
        <v>45</v>
      </c>
      <c r="G12" s="81" t="s">
        <v>3</v>
      </c>
      <c r="H12" s="83">
        <v>127.44</v>
      </c>
      <c r="I12" s="83">
        <f t="shared" si="0"/>
        <v>5734.8</v>
      </c>
    </row>
    <row r="13" spans="1:9" s="75" customFormat="1" ht="15.75" x14ac:dyDescent="0.25">
      <c r="A13" s="81">
        <v>8</v>
      </c>
      <c r="B13" s="82">
        <v>44784</v>
      </c>
      <c r="C13" s="82">
        <v>44784</v>
      </c>
      <c r="D13" s="148" t="s">
        <v>205</v>
      </c>
      <c r="E13" s="152" t="s">
        <v>203</v>
      </c>
      <c r="F13" s="81">
        <v>100</v>
      </c>
      <c r="G13" s="81" t="s">
        <v>3</v>
      </c>
      <c r="H13" s="83">
        <v>151.04</v>
      </c>
      <c r="I13" s="83">
        <f t="shared" si="0"/>
        <v>15104</v>
      </c>
    </row>
    <row r="14" spans="1:9" s="8" customFormat="1" ht="15.75" x14ac:dyDescent="0.25">
      <c r="A14" s="81">
        <v>9</v>
      </c>
      <c r="B14" s="82">
        <v>44634</v>
      </c>
      <c r="C14" s="82">
        <v>44634</v>
      </c>
      <c r="D14" s="148" t="s">
        <v>89</v>
      </c>
      <c r="E14" s="152" t="s">
        <v>5</v>
      </c>
      <c r="F14" s="81">
        <f>100-19-5-6-9-5-6-11-6-19-2-3</f>
        <v>9</v>
      </c>
      <c r="G14" s="81" t="s">
        <v>3</v>
      </c>
      <c r="H14" s="83">
        <v>371.7</v>
      </c>
      <c r="I14" s="83">
        <f t="shared" si="0"/>
        <v>3345.2999999999997</v>
      </c>
    </row>
    <row r="15" spans="1:9" s="75" customFormat="1" ht="15.75" x14ac:dyDescent="0.25">
      <c r="A15" s="81">
        <v>10</v>
      </c>
      <c r="B15" s="82">
        <v>44784</v>
      </c>
      <c r="C15" s="82">
        <v>44784</v>
      </c>
      <c r="D15" s="148" t="s">
        <v>89</v>
      </c>
      <c r="E15" s="152" t="s">
        <v>5</v>
      </c>
      <c r="F15" s="81">
        <v>100</v>
      </c>
      <c r="G15" s="81" t="s">
        <v>3</v>
      </c>
      <c r="H15" s="83">
        <v>407.1</v>
      </c>
      <c r="I15" s="83">
        <f t="shared" si="0"/>
        <v>40710</v>
      </c>
    </row>
    <row r="16" spans="1:9" s="75" customFormat="1" ht="15.75" x14ac:dyDescent="0.25">
      <c r="A16" s="81">
        <v>11</v>
      </c>
      <c r="B16" s="82">
        <v>45287</v>
      </c>
      <c r="C16" s="82">
        <v>45287</v>
      </c>
      <c r="D16" s="148" t="s">
        <v>89</v>
      </c>
      <c r="E16" s="152" t="s">
        <v>5</v>
      </c>
      <c r="F16" s="81">
        <v>150</v>
      </c>
      <c r="G16" s="81" t="s">
        <v>3</v>
      </c>
      <c r="H16" s="83">
        <v>118</v>
      </c>
      <c r="I16" s="83">
        <f t="shared" si="0"/>
        <v>17700</v>
      </c>
    </row>
    <row r="17" spans="1:9" s="8" customFormat="1" ht="14.25" customHeight="1" x14ac:dyDescent="0.25">
      <c r="A17" s="81">
        <v>12</v>
      </c>
      <c r="B17" s="82">
        <v>45107</v>
      </c>
      <c r="C17" s="82">
        <v>45107</v>
      </c>
      <c r="D17" s="148" t="s">
        <v>90</v>
      </c>
      <c r="E17" s="152" t="s">
        <v>260</v>
      </c>
      <c r="F17" s="81">
        <f>300-63-50-43-56</f>
        <v>88</v>
      </c>
      <c r="G17" s="81" t="s">
        <v>4</v>
      </c>
      <c r="H17" s="83">
        <v>82.540999999999997</v>
      </c>
      <c r="I17" s="83">
        <f t="shared" si="0"/>
        <v>7263.6080000000002</v>
      </c>
    </row>
    <row r="18" spans="1:9" s="107" customFormat="1" ht="14.25" customHeight="1" x14ac:dyDescent="0.25">
      <c r="A18" s="81">
        <v>13</v>
      </c>
      <c r="B18" s="82">
        <v>45279</v>
      </c>
      <c r="C18" s="82">
        <v>45279</v>
      </c>
      <c r="D18" s="148" t="s">
        <v>206</v>
      </c>
      <c r="E18" s="152" t="s">
        <v>260</v>
      </c>
      <c r="F18" s="81">
        <v>200</v>
      </c>
      <c r="G18" s="83" t="s">
        <v>4</v>
      </c>
      <c r="H18" s="83">
        <v>109.15</v>
      </c>
      <c r="I18" s="83">
        <f t="shared" si="0"/>
        <v>21830</v>
      </c>
    </row>
    <row r="19" spans="1:9" s="8" customFormat="1" ht="14.25" customHeight="1" x14ac:dyDescent="0.25">
      <c r="A19" s="81">
        <v>14</v>
      </c>
      <c r="B19" s="82">
        <v>45107</v>
      </c>
      <c r="C19" s="82">
        <v>45107</v>
      </c>
      <c r="D19" s="148" t="s">
        <v>91</v>
      </c>
      <c r="E19" s="152" t="s">
        <v>261</v>
      </c>
      <c r="F19" s="81">
        <f>150-1-4-7-1-2-13</f>
        <v>122</v>
      </c>
      <c r="G19" s="81" t="s">
        <v>262</v>
      </c>
      <c r="H19" s="83">
        <v>381.73</v>
      </c>
      <c r="I19" s="83">
        <f t="shared" si="0"/>
        <v>46571.060000000005</v>
      </c>
    </row>
    <row r="20" spans="1:9" s="8" customFormat="1" ht="14.25" customHeight="1" x14ac:dyDescent="0.25">
      <c r="A20" s="81">
        <v>15</v>
      </c>
      <c r="B20" s="82">
        <v>45107</v>
      </c>
      <c r="C20" s="82">
        <v>45107</v>
      </c>
      <c r="D20" s="148" t="s">
        <v>188</v>
      </c>
      <c r="E20" s="152" t="s">
        <v>182</v>
      </c>
      <c r="F20" s="81">
        <f>300-72-76-35-52</f>
        <v>65</v>
      </c>
      <c r="G20" s="81" t="s">
        <v>4</v>
      </c>
      <c r="H20" s="83">
        <v>114.224</v>
      </c>
      <c r="I20" s="83">
        <f t="shared" si="0"/>
        <v>7424.56</v>
      </c>
    </row>
    <row r="21" spans="1:9" s="107" customFormat="1" ht="14.25" customHeight="1" x14ac:dyDescent="0.25">
      <c r="A21" s="81">
        <v>16</v>
      </c>
      <c r="B21" s="82">
        <v>45288</v>
      </c>
      <c r="C21" s="82">
        <v>45288</v>
      </c>
      <c r="D21" s="148" t="s">
        <v>207</v>
      </c>
      <c r="E21" s="152" t="s">
        <v>182</v>
      </c>
      <c r="F21" s="81">
        <v>200</v>
      </c>
      <c r="G21" s="81" t="s">
        <v>4</v>
      </c>
      <c r="H21" s="83">
        <v>88.5</v>
      </c>
      <c r="I21" s="83">
        <f t="shared" si="0"/>
        <v>17700</v>
      </c>
    </row>
    <row r="22" spans="1:9" s="8" customFormat="1" ht="14.25" customHeight="1" x14ac:dyDescent="0.25">
      <c r="A22" s="81">
        <v>18</v>
      </c>
      <c r="B22" s="82">
        <v>45106</v>
      </c>
      <c r="C22" s="82">
        <v>45106</v>
      </c>
      <c r="D22" s="148" t="s">
        <v>92</v>
      </c>
      <c r="E22" s="152" t="s">
        <v>53</v>
      </c>
      <c r="F22" s="81">
        <f>30-4</f>
        <v>26</v>
      </c>
      <c r="G22" s="81" t="s">
        <v>3</v>
      </c>
      <c r="H22" s="83">
        <v>96.500299999999996</v>
      </c>
      <c r="I22" s="83">
        <f t="shared" si="0"/>
        <v>2509.0077999999999</v>
      </c>
    </row>
    <row r="23" spans="1:9" s="8" customFormat="1" ht="14.25" customHeight="1" x14ac:dyDescent="0.25">
      <c r="A23" s="81">
        <v>19</v>
      </c>
      <c r="B23" s="82">
        <v>45107</v>
      </c>
      <c r="C23" s="82">
        <v>45107</v>
      </c>
      <c r="D23" s="148" t="s">
        <v>206</v>
      </c>
      <c r="E23" s="152" t="s">
        <v>204</v>
      </c>
      <c r="F23" s="81">
        <f>100-5-9-32</f>
        <v>54</v>
      </c>
      <c r="G23" s="81" t="s">
        <v>3</v>
      </c>
      <c r="H23" s="83">
        <v>177.23599999999999</v>
      </c>
      <c r="I23" s="83">
        <f t="shared" si="0"/>
        <v>9570.7439999999988</v>
      </c>
    </row>
    <row r="24" spans="1:9" s="8" customFormat="1" ht="14.25" customHeight="1" x14ac:dyDescent="0.25">
      <c r="A24" s="81">
        <v>20</v>
      </c>
      <c r="B24" s="82">
        <v>45287</v>
      </c>
      <c r="C24" s="82">
        <v>45287</v>
      </c>
      <c r="D24" s="148" t="s">
        <v>206</v>
      </c>
      <c r="E24" s="152" t="s">
        <v>204</v>
      </c>
      <c r="F24" s="81">
        <v>200</v>
      </c>
      <c r="G24" s="81" t="s">
        <v>3</v>
      </c>
      <c r="H24" s="83">
        <v>129.80000000000001</v>
      </c>
      <c r="I24" s="83">
        <f t="shared" si="0"/>
        <v>25960.000000000004</v>
      </c>
    </row>
    <row r="25" spans="1:9" s="8" customFormat="1" ht="14.25" customHeight="1" x14ac:dyDescent="0.25">
      <c r="A25" s="81">
        <v>21</v>
      </c>
      <c r="B25" s="82">
        <v>45107</v>
      </c>
      <c r="C25" s="82">
        <v>45107</v>
      </c>
      <c r="D25" s="148" t="s">
        <v>87</v>
      </c>
      <c r="E25" s="152" t="s">
        <v>49</v>
      </c>
      <c r="F25" s="81">
        <f>200-21-26-33-25-9-26</f>
        <v>60</v>
      </c>
      <c r="G25" s="81" t="s">
        <v>50</v>
      </c>
      <c r="H25" s="83">
        <v>99.71</v>
      </c>
      <c r="I25" s="83">
        <f t="shared" si="0"/>
        <v>5982.5999999999995</v>
      </c>
    </row>
    <row r="26" spans="1:9" s="8" customFormat="1" ht="14.25" customHeight="1" x14ac:dyDescent="0.25">
      <c r="A26" s="81">
        <v>22</v>
      </c>
      <c r="B26" s="82">
        <v>45287</v>
      </c>
      <c r="C26" s="82">
        <v>45287</v>
      </c>
      <c r="D26" s="148" t="s">
        <v>87</v>
      </c>
      <c r="E26" s="152" t="s">
        <v>49</v>
      </c>
      <c r="F26" s="81">
        <v>250</v>
      </c>
      <c r="G26" s="81" t="s">
        <v>50</v>
      </c>
      <c r="H26" s="83">
        <v>82.6</v>
      </c>
      <c r="I26" s="83">
        <f t="shared" si="0"/>
        <v>20650</v>
      </c>
    </row>
    <row r="27" spans="1:9" s="75" customFormat="1" ht="14.25" customHeight="1" x14ac:dyDescent="0.25">
      <c r="A27" s="81">
        <v>23</v>
      </c>
      <c r="B27" s="82">
        <v>45107</v>
      </c>
      <c r="C27" s="82">
        <v>45107</v>
      </c>
      <c r="D27" s="148" t="s">
        <v>189</v>
      </c>
      <c r="E27" s="152" t="s">
        <v>263</v>
      </c>
      <c r="F27" s="81">
        <f>100-31</f>
        <v>69</v>
      </c>
      <c r="G27" s="81" t="s">
        <v>4</v>
      </c>
      <c r="H27" s="83">
        <v>224.2</v>
      </c>
      <c r="I27" s="83">
        <f t="shared" si="0"/>
        <v>15469.8</v>
      </c>
    </row>
    <row r="28" spans="1:9" s="75" customFormat="1" ht="14.25" customHeight="1" x14ac:dyDescent="0.25">
      <c r="A28" s="81">
        <v>24</v>
      </c>
      <c r="B28" s="82">
        <v>45287</v>
      </c>
      <c r="C28" s="82">
        <v>45287</v>
      </c>
      <c r="D28" s="148" t="s">
        <v>189</v>
      </c>
      <c r="E28" s="152" t="s">
        <v>263</v>
      </c>
      <c r="F28" s="81">
        <v>180</v>
      </c>
      <c r="G28" s="81" t="s">
        <v>4</v>
      </c>
      <c r="H28" s="83">
        <v>100.3</v>
      </c>
      <c r="I28" s="83">
        <f t="shared" si="0"/>
        <v>18054</v>
      </c>
    </row>
    <row r="29" spans="1:9" s="8" customFormat="1" ht="14.25" customHeight="1" x14ac:dyDescent="0.25">
      <c r="A29" s="81">
        <v>25</v>
      </c>
      <c r="B29" s="82">
        <v>45106</v>
      </c>
      <c r="C29" s="82">
        <v>45106</v>
      </c>
      <c r="D29" s="148" t="s">
        <v>86</v>
      </c>
      <c r="E29" s="152" t="s">
        <v>258</v>
      </c>
      <c r="F29" s="81">
        <f>100-18-6-5-45</f>
        <v>26</v>
      </c>
      <c r="G29" s="81" t="s">
        <v>181</v>
      </c>
      <c r="H29" s="83">
        <v>49.595399999999998</v>
      </c>
      <c r="I29" s="83">
        <f t="shared" si="0"/>
        <v>1289.4803999999999</v>
      </c>
    </row>
    <row r="30" spans="1:9" s="8" customFormat="1" ht="14.25" customHeight="1" x14ac:dyDescent="0.25">
      <c r="A30" s="81">
        <v>26</v>
      </c>
      <c r="B30" s="82">
        <v>45287</v>
      </c>
      <c r="C30" s="82">
        <v>45287</v>
      </c>
      <c r="D30" s="148" t="s">
        <v>86</v>
      </c>
      <c r="E30" s="152" t="s">
        <v>258</v>
      </c>
      <c r="F30" s="81">
        <v>200</v>
      </c>
      <c r="G30" s="81" t="s">
        <v>181</v>
      </c>
      <c r="H30" s="83">
        <v>53.1</v>
      </c>
      <c r="I30" s="83">
        <f t="shared" si="0"/>
        <v>10620</v>
      </c>
    </row>
    <row r="31" spans="1:9" s="8" customFormat="1" ht="15.75" x14ac:dyDescent="0.25">
      <c r="A31" s="81">
        <v>27</v>
      </c>
      <c r="B31" s="82">
        <v>44784</v>
      </c>
      <c r="C31" s="82">
        <v>44784</v>
      </c>
      <c r="D31" s="148" t="s">
        <v>91</v>
      </c>
      <c r="E31" s="152" t="s">
        <v>179</v>
      </c>
      <c r="F31" s="81">
        <f>100-2-9-8-13-10-4</f>
        <v>54</v>
      </c>
      <c r="G31" s="81" t="s">
        <v>4</v>
      </c>
      <c r="H31" s="83">
        <v>348.1</v>
      </c>
      <c r="I31" s="83">
        <f t="shared" si="0"/>
        <v>18797.400000000001</v>
      </c>
    </row>
    <row r="32" spans="1:9" s="75" customFormat="1" ht="15.75" x14ac:dyDescent="0.25">
      <c r="A32" s="81">
        <v>28</v>
      </c>
      <c r="B32" s="82">
        <v>44918</v>
      </c>
      <c r="C32" s="82">
        <v>44918</v>
      </c>
      <c r="D32" s="148" t="s">
        <v>91</v>
      </c>
      <c r="E32" s="152" t="s">
        <v>179</v>
      </c>
      <c r="F32" s="81">
        <v>100</v>
      </c>
      <c r="G32" s="81" t="s">
        <v>4</v>
      </c>
      <c r="H32" s="83">
        <v>358.13</v>
      </c>
      <c r="I32" s="83">
        <f t="shared" si="0"/>
        <v>35813</v>
      </c>
    </row>
    <row r="33" spans="1:9" s="8" customFormat="1" ht="14.25" customHeight="1" x14ac:dyDescent="0.25">
      <c r="A33" s="81">
        <v>29</v>
      </c>
      <c r="B33" s="82">
        <v>45106</v>
      </c>
      <c r="C33" s="82">
        <v>45106</v>
      </c>
      <c r="D33" s="148" t="s">
        <v>207</v>
      </c>
      <c r="E33" s="152" t="s">
        <v>259</v>
      </c>
      <c r="F33" s="81">
        <f>224-6-38-63-44-20-31</f>
        <v>22</v>
      </c>
      <c r="G33" s="81" t="s">
        <v>6</v>
      </c>
      <c r="H33" s="83">
        <v>744.14338999999995</v>
      </c>
      <c r="I33" s="83">
        <f t="shared" si="0"/>
        <v>16371.154579999999</v>
      </c>
    </row>
    <row r="34" spans="1:9" s="8" customFormat="1" ht="14.25" customHeight="1" x14ac:dyDescent="0.25">
      <c r="A34" s="81">
        <v>30</v>
      </c>
      <c r="B34" s="82" t="s">
        <v>321</v>
      </c>
      <c r="C34" s="82" t="s">
        <v>321</v>
      </c>
      <c r="D34" s="148" t="s">
        <v>207</v>
      </c>
      <c r="E34" s="152" t="s">
        <v>259</v>
      </c>
      <c r="F34" s="81">
        <v>224</v>
      </c>
      <c r="G34" s="81" t="s">
        <v>6</v>
      </c>
      <c r="H34" s="83">
        <v>1150.5</v>
      </c>
      <c r="I34" s="83">
        <f t="shared" si="0"/>
        <v>257712</v>
      </c>
    </row>
    <row r="35" spans="1:9" s="8" customFormat="1" ht="14.25" customHeight="1" x14ac:dyDescent="0.25">
      <c r="A35" s="81">
        <v>31</v>
      </c>
      <c r="B35" s="82">
        <v>45105</v>
      </c>
      <c r="C35" s="82">
        <v>45105</v>
      </c>
      <c r="D35" s="148" t="s">
        <v>85</v>
      </c>
      <c r="E35" s="152" t="s">
        <v>284</v>
      </c>
      <c r="F35" s="81">
        <f>230-10-57-57-3-14-17</f>
        <v>72</v>
      </c>
      <c r="G35" s="81" t="s">
        <v>6</v>
      </c>
      <c r="H35" s="83">
        <v>824.23</v>
      </c>
      <c r="I35" s="83">
        <f t="shared" si="0"/>
        <v>59344.56</v>
      </c>
    </row>
    <row r="36" spans="1:9" s="8" customFormat="1" ht="14.25" customHeight="1" x14ac:dyDescent="0.25">
      <c r="A36" s="81">
        <v>32</v>
      </c>
      <c r="B36" s="82" t="s">
        <v>321</v>
      </c>
      <c r="C36" s="82" t="s">
        <v>321</v>
      </c>
      <c r="D36" s="148" t="s">
        <v>85</v>
      </c>
      <c r="E36" s="152" t="s">
        <v>284</v>
      </c>
      <c r="F36" s="81">
        <v>310</v>
      </c>
      <c r="G36" s="81" t="s">
        <v>6</v>
      </c>
      <c r="H36" s="83">
        <v>1150.5</v>
      </c>
      <c r="I36" s="83">
        <f t="shared" si="0"/>
        <v>356655</v>
      </c>
    </row>
    <row r="37" spans="1:9" s="8" customFormat="1" ht="15.75" x14ac:dyDescent="0.25">
      <c r="A37" s="81">
        <v>33</v>
      </c>
      <c r="B37" s="82">
        <v>45287</v>
      </c>
      <c r="C37" s="82">
        <v>45287</v>
      </c>
      <c r="D37" s="148" t="s">
        <v>93</v>
      </c>
      <c r="E37" s="152" t="s">
        <v>52</v>
      </c>
      <c r="F37" s="81">
        <f>78-12</f>
        <v>66</v>
      </c>
      <c r="G37" s="81" t="s">
        <v>3</v>
      </c>
      <c r="H37" s="83">
        <v>100.3</v>
      </c>
      <c r="I37" s="83">
        <f t="shared" si="0"/>
        <v>6619.8</v>
      </c>
    </row>
    <row r="38" spans="1:9" s="8" customFormat="1" ht="15.75" x14ac:dyDescent="0.25">
      <c r="A38" s="81">
        <v>34</v>
      </c>
      <c r="B38" s="82">
        <v>45287</v>
      </c>
      <c r="C38" s="82">
        <v>45287</v>
      </c>
      <c r="D38" s="148" t="s">
        <v>216</v>
      </c>
      <c r="E38" s="153" t="s">
        <v>48</v>
      </c>
      <c r="F38" s="81">
        <f>296-35</f>
        <v>261</v>
      </c>
      <c r="G38" s="81" t="s">
        <v>3</v>
      </c>
      <c r="H38" s="83">
        <v>212.4</v>
      </c>
      <c r="I38" s="83">
        <f t="shared" si="0"/>
        <v>55436.4</v>
      </c>
    </row>
    <row r="39" spans="1:9" s="8" customFormat="1" ht="15.75" x14ac:dyDescent="0.25">
      <c r="A39" s="81">
        <v>35</v>
      </c>
      <c r="B39" s="82">
        <v>45287</v>
      </c>
      <c r="C39" s="82">
        <v>45287</v>
      </c>
      <c r="D39" s="148" t="s">
        <v>319</v>
      </c>
      <c r="E39" s="152" t="s">
        <v>315</v>
      </c>
      <c r="F39" s="81">
        <f>50-8</f>
        <v>42</v>
      </c>
      <c r="G39" s="81" t="s">
        <v>316</v>
      </c>
      <c r="H39" s="83">
        <v>1239</v>
      </c>
      <c r="I39" s="83">
        <f t="shared" si="0"/>
        <v>52038</v>
      </c>
    </row>
    <row r="40" spans="1:9" s="8" customFormat="1" ht="15.75" x14ac:dyDescent="0.25">
      <c r="A40" s="81">
        <v>36</v>
      </c>
      <c r="B40" s="82">
        <v>44183</v>
      </c>
      <c r="C40" s="82">
        <v>44183</v>
      </c>
      <c r="D40" s="148" t="s">
        <v>94</v>
      </c>
      <c r="E40" s="152" t="s">
        <v>43</v>
      </c>
      <c r="F40" s="81">
        <f>6750-145-139-189-159-178-150-181-213-224-197-187-189-141-192-226-250-227-280-255-260-303-284-345-120-233-170-285-238-285-305-12-17-23-20-58-52</f>
        <v>18</v>
      </c>
      <c r="G40" s="81" t="s">
        <v>6</v>
      </c>
      <c r="H40" s="83">
        <v>42.244</v>
      </c>
      <c r="I40" s="83">
        <f t="shared" si="0"/>
        <v>760.39200000000005</v>
      </c>
    </row>
    <row r="41" spans="1:9" s="8" customFormat="1" ht="14.25" customHeight="1" x14ac:dyDescent="0.25">
      <c r="A41" s="81">
        <v>37</v>
      </c>
      <c r="B41" s="82">
        <v>45107</v>
      </c>
      <c r="C41" s="82">
        <v>45107</v>
      </c>
      <c r="D41" s="148" t="s">
        <v>95</v>
      </c>
      <c r="E41" s="152" t="s">
        <v>51</v>
      </c>
      <c r="F41" s="81">
        <f>50-30-1-1-1</f>
        <v>17</v>
      </c>
      <c r="G41" s="81" t="s">
        <v>3</v>
      </c>
      <c r="H41" s="83">
        <v>1642.56</v>
      </c>
      <c r="I41" s="83">
        <f t="shared" si="0"/>
        <v>27923.52</v>
      </c>
    </row>
    <row r="42" spans="1:9" s="8" customFormat="1" ht="14.25" customHeight="1" x14ac:dyDescent="0.25">
      <c r="A42" s="81">
        <v>38</v>
      </c>
      <c r="B42" s="82">
        <v>45107</v>
      </c>
      <c r="C42" s="82">
        <v>45107</v>
      </c>
      <c r="D42" s="148" t="s">
        <v>95</v>
      </c>
      <c r="E42" s="152" t="s">
        <v>238</v>
      </c>
      <c r="F42" s="154">
        <f>50-10</f>
        <v>40</v>
      </c>
      <c r="G42" s="81" t="s">
        <v>3</v>
      </c>
      <c r="H42" s="25">
        <v>1038.4000000000001</v>
      </c>
      <c r="I42" s="83">
        <f t="shared" si="0"/>
        <v>41536</v>
      </c>
    </row>
    <row r="43" spans="1:9" s="8" customFormat="1" ht="15.75" x14ac:dyDescent="0.25">
      <c r="A43" s="81">
        <v>39</v>
      </c>
      <c r="B43" s="82">
        <v>44918</v>
      </c>
      <c r="C43" s="82">
        <v>44918</v>
      </c>
      <c r="D43" s="148" t="s">
        <v>95</v>
      </c>
      <c r="E43" s="152" t="s">
        <v>238</v>
      </c>
      <c r="F43" s="154">
        <f>50-2-5-2-2-7-3-5-6</f>
        <v>18</v>
      </c>
      <c r="G43" s="81" t="s">
        <v>3</v>
      </c>
      <c r="H43" s="25">
        <v>466.1</v>
      </c>
      <c r="I43" s="83">
        <f t="shared" si="0"/>
        <v>8389.8000000000011</v>
      </c>
    </row>
    <row r="44" spans="1:9" s="16" customFormat="1" x14ac:dyDescent="0.25">
      <c r="A44" s="38"/>
      <c r="H44" s="24" t="s">
        <v>17</v>
      </c>
      <c r="I44" s="48">
        <f>SUM(I6:I43)</f>
        <v>1363098.0247800001</v>
      </c>
    </row>
    <row r="45" spans="1:9" s="16" customFormat="1" x14ac:dyDescent="0.25">
      <c r="A45" s="38"/>
      <c r="H45" s="63"/>
      <c r="I45" s="68"/>
    </row>
    <row r="46" spans="1:9" s="16" customFormat="1" x14ac:dyDescent="0.25">
      <c r="A46" s="38"/>
      <c r="H46" s="63"/>
      <c r="I46" s="68"/>
    </row>
    <row r="47" spans="1:9" s="16" customFormat="1" x14ac:dyDescent="0.25">
      <c r="A47" s="38"/>
    </row>
    <row r="48" spans="1:9" x14ac:dyDescent="0.25">
      <c r="A48" s="162" t="s">
        <v>248</v>
      </c>
      <c r="B48" s="162"/>
      <c r="C48" s="162"/>
      <c r="D48" s="162"/>
      <c r="E48" s="162"/>
      <c r="F48" s="162"/>
      <c r="G48" s="162"/>
      <c r="H48" s="162"/>
      <c r="I48" s="162"/>
    </row>
    <row r="49" spans="1:9" ht="15.75" x14ac:dyDescent="0.25">
      <c r="A49" s="156" t="s">
        <v>317</v>
      </c>
      <c r="B49" s="156"/>
      <c r="C49" s="156"/>
      <c r="D49" s="156"/>
      <c r="E49" s="156"/>
      <c r="F49" s="156"/>
      <c r="G49" s="156"/>
      <c r="H49" s="156"/>
      <c r="I49" s="156"/>
    </row>
    <row r="50" spans="1:9" ht="15.75" x14ac:dyDescent="0.25">
      <c r="A50" s="157" t="s">
        <v>318</v>
      </c>
      <c r="B50" s="157"/>
      <c r="C50" s="157"/>
      <c r="D50" s="157"/>
      <c r="E50" s="157"/>
      <c r="F50" s="157"/>
      <c r="G50" s="157"/>
      <c r="H50" s="157"/>
      <c r="I50" s="157"/>
    </row>
    <row r="51" spans="1:9" ht="15.75" x14ac:dyDescent="0.25">
      <c r="A51" s="157" t="s">
        <v>249</v>
      </c>
      <c r="B51" s="157"/>
      <c r="C51" s="157"/>
      <c r="D51" s="157"/>
      <c r="E51" s="157"/>
      <c r="F51" s="157"/>
      <c r="G51" s="157"/>
      <c r="H51" s="157"/>
      <c r="I51" s="157"/>
    </row>
    <row r="52" spans="1:9" ht="14.25" customHeight="1" x14ac:dyDescent="0.25">
      <c r="A52" s="115"/>
      <c r="B52" s="158"/>
      <c r="C52" s="158"/>
      <c r="D52" s="158"/>
      <c r="E52" s="159"/>
      <c r="F52" s="159"/>
      <c r="G52" s="65"/>
      <c r="H52" s="161"/>
      <c r="I52" s="161"/>
    </row>
    <row r="53" spans="1:9" ht="12" customHeight="1" x14ac:dyDescent="0.25">
      <c r="A53" s="115"/>
      <c r="B53" s="160"/>
      <c r="C53" s="160"/>
      <c r="D53" s="160"/>
      <c r="E53" s="160"/>
      <c r="F53" s="160"/>
      <c r="G53" s="66"/>
      <c r="H53" s="67"/>
      <c r="I53" s="66"/>
    </row>
    <row r="54" spans="1:9" ht="23.25" customHeight="1" x14ac:dyDescent="0.25">
      <c r="B54" s="155"/>
      <c r="C54" s="155"/>
      <c r="D54" s="155"/>
      <c r="E54" s="155"/>
      <c r="F54" s="155"/>
      <c r="G54" s="58"/>
      <c r="H54" s="59"/>
      <c r="I54" s="58"/>
    </row>
    <row r="55" spans="1:9" ht="16.5" customHeight="1" x14ac:dyDescent="0.25"/>
    <row r="56" spans="1:9" ht="11.25" customHeight="1" x14ac:dyDescent="0.25"/>
    <row r="57" spans="1:9" ht="15" customHeight="1" x14ac:dyDescent="0.25"/>
    <row r="58" spans="1:9" ht="15" customHeight="1" x14ac:dyDescent="0.25"/>
    <row r="59" spans="1:9" ht="11.25" customHeight="1" x14ac:dyDescent="0.25"/>
    <row r="60" spans="1:9" ht="11.25" customHeight="1" x14ac:dyDescent="0.25"/>
  </sheetData>
  <mergeCells count="16">
    <mergeCell ref="A48:I48"/>
    <mergeCell ref="A1:I1"/>
    <mergeCell ref="A2:I2"/>
    <mergeCell ref="A3:I3"/>
    <mergeCell ref="A4:I4"/>
    <mergeCell ref="F5:G5"/>
    <mergeCell ref="B54:D54"/>
    <mergeCell ref="E54:F54"/>
    <mergeCell ref="A49:I49"/>
    <mergeCell ref="A50:I50"/>
    <mergeCell ref="A51:I51"/>
    <mergeCell ref="B52:D52"/>
    <mergeCell ref="E52:F52"/>
    <mergeCell ref="B53:D53"/>
    <mergeCell ref="E53:F53"/>
    <mergeCell ref="H52:I52"/>
  </mergeCells>
  <pageMargins left="0.86" right="0.21" top="0.44" bottom="0.55000000000000004" header="0.3" footer="0.5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8"/>
  <sheetViews>
    <sheetView zoomScaleNormal="100" workbookViewId="0">
      <selection activeCell="A6" sqref="A6:I6"/>
    </sheetView>
  </sheetViews>
  <sheetFormatPr baseColWidth="10" defaultRowHeight="15" x14ac:dyDescent="0.25"/>
  <cols>
    <col min="1" max="1" width="6.28515625" customWidth="1"/>
    <col min="2" max="2" width="14.5703125" customWidth="1"/>
    <col min="3" max="3" width="12.85546875" customWidth="1"/>
    <col min="4" max="4" width="9.7109375" customWidth="1"/>
    <col min="5" max="5" width="30.42578125" customWidth="1"/>
    <col min="6" max="6" width="8.42578125" customWidth="1"/>
    <col min="7" max="7" width="8" customWidth="1"/>
    <col min="8" max="8" width="13.85546875" customWidth="1"/>
    <col min="9" max="9" width="17.28515625" customWidth="1"/>
    <col min="10" max="10" width="12.42578125" bestFit="1" customWidth="1"/>
  </cols>
  <sheetData>
    <row r="2" spans="1:13" s="16" customFormat="1" x14ac:dyDescent="0.25"/>
    <row r="3" spans="1:13" s="16" customFormat="1" ht="56.25" customHeight="1" x14ac:dyDescent="0.25">
      <c r="A3" s="172" t="s">
        <v>29</v>
      </c>
      <c r="B3" s="172"/>
      <c r="C3" s="172"/>
      <c r="D3" s="172"/>
      <c r="E3" s="172"/>
      <c r="F3" s="172"/>
      <c r="G3" s="172"/>
      <c r="H3" s="172"/>
      <c r="I3" s="172"/>
    </row>
    <row r="4" spans="1:13" s="16" customFormat="1" ht="15.75" customHeight="1" x14ac:dyDescent="0.3">
      <c r="A4" s="173" t="s">
        <v>24</v>
      </c>
      <c r="B4" s="173"/>
      <c r="C4" s="173"/>
      <c r="D4" s="173"/>
      <c r="E4" s="173"/>
      <c r="F4" s="173"/>
      <c r="G4" s="173"/>
      <c r="H4" s="173"/>
      <c r="I4" s="173"/>
    </row>
    <row r="5" spans="1:13" s="16" customFormat="1" ht="12" customHeight="1" x14ac:dyDescent="0.25">
      <c r="A5" s="174" t="s">
        <v>81</v>
      </c>
      <c r="B5" s="174"/>
      <c r="C5" s="174"/>
      <c r="D5" s="174"/>
      <c r="E5" s="174"/>
      <c r="F5" s="174"/>
      <c r="G5" s="174"/>
      <c r="H5" s="174"/>
      <c r="I5" s="174"/>
    </row>
    <row r="6" spans="1:13" s="16" customFormat="1" ht="15" customHeight="1" x14ac:dyDescent="0.25">
      <c r="A6" s="166" t="s">
        <v>322</v>
      </c>
      <c r="B6" s="166"/>
      <c r="C6" s="166"/>
      <c r="D6" s="166"/>
      <c r="E6" s="166"/>
      <c r="F6" s="166"/>
      <c r="G6" s="166"/>
      <c r="H6" s="166"/>
      <c r="I6" s="166"/>
    </row>
    <row r="7" spans="1:13" s="5" customFormat="1" ht="37.5" customHeight="1" x14ac:dyDescent="0.25">
      <c r="A7" s="25" t="s">
        <v>0</v>
      </c>
      <c r="B7" s="26" t="s">
        <v>19</v>
      </c>
      <c r="C7" s="27" t="s">
        <v>88</v>
      </c>
      <c r="D7" s="28" t="s">
        <v>84</v>
      </c>
      <c r="E7" s="88" t="s">
        <v>1</v>
      </c>
      <c r="F7" s="175" t="s">
        <v>2</v>
      </c>
      <c r="G7" s="176"/>
      <c r="H7" s="29" t="s">
        <v>15</v>
      </c>
      <c r="I7" s="30" t="s">
        <v>16</v>
      </c>
    </row>
    <row r="8" spans="1:13" s="77" customFormat="1" ht="12.75" x14ac:dyDescent="0.2">
      <c r="A8" s="4">
        <v>1</v>
      </c>
      <c r="B8" s="6">
        <v>44748</v>
      </c>
      <c r="C8" s="122">
        <v>44748</v>
      </c>
      <c r="D8" s="91" t="s">
        <v>96</v>
      </c>
      <c r="E8" s="123" t="s">
        <v>212</v>
      </c>
      <c r="F8" s="94">
        <f>125-7-5-12-4-26-6-3-2-3-12-1-10-8-6-3-3-10</f>
        <v>4</v>
      </c>
      <c r="G8" s="94" t="s">
        <v>3</v>
      </c>
      <c r="H8" s="95">
        <v>570.53</v>
      </c>
      <c r="I8" s="10">
        <f t="shared" ref="I8:I15" si="0">+F8*H8</f>
        <v>2282.12</v>
      </c>
    </row>
    <row r="9" spans="1:13" s="77" customFormat="1" ht="12.75" x14ac:dyDescent="0.2">
      <c r="A9" s="4">
        <v>2</v>
      </c>
      <c r="B9" s="6">
        <v>45230</v>
      </c>
      <c r="C9" s="122">
        <v>45230</v>
      </c>
      <c r="D9" s="91" t="s">
        <v>96</v>
      </c>
      <c r="E9" s="123" t="s">
        <v>212</v>
      </c>
      <c r="F9" s="94">
        <v>100</v>
      </c>
      <c r="G9" s="94" t="s">
        <v>3</v>
      </c>
      <c r="H9" s="95">
        <v>642.4982</v>
      </c>
      <c r="I9" s="10">
        <f t="shared" si="0"/>
        <v>64249.82</v>
      </c>
    </row>
    <row r="10" spans="1:13" s="5" customFormat="1" ht="12.75" x14ac:dyDescent="0.2">
      <c r="A10" s="4">
        <v>3</v>
      </c>
      <c r="B10" s="6">
        <v>44748</v>
      </c>
      <c r="C10" s="122">
        <v>44748</v>
      </c>
      <c r="D10" s="91" t="s">
        <v>96</v>
      </c>
      <c r="E10" s="123" t="s">
        <v>247</v>
      </c>
      <c r="F10" s="94">
        <f>125-12-4-3-12-5</f>
        <v>89</v>
      </c>
      <c r="G10" s="94" t="s">
        <v>3</v>
      </c>
      <c r="H10" s="95">
        <v>608.44344000000001</v>
      </c>
      <c r="I10" s="10">
        <f t="shared" si="0"/>
        <v>54151.466160000004</v>
      </c>
    </row>
    <row r="11" spans="1:13" s="5" customFormat="1" ht="12.75" x14ac:dyDescent="0.2">
      <c r="A11" s="4">
        <v>4</v>
      </c>
      <c r="B11" s="6">
        <v>45230</v>
      </c>
      <c r="C11" s="122">
        <v>45230</v>
      </c>
      <c r="D11" s="91" t="s">
        <v>96</v>
      </c>
      <c r="E11" s="123" t="s">
        <v>247</v>
      </c>
      <c r="F11" s="94">
        <v>100</v>
      </c>
      <c r="G11" s="94" t="s">
        <v>3</v>
      </c>
      <c r="H11" s="95">
        <v>820.69</v>
      </c>
      <c r="I11" s="10">
        <f t="shared" si="0"/>
        <v>82069</v>
      </c>
      <c r="K11" s="77"/>
    </row>
    <row r="12" spans="1:13" s="76" customFormat="1" ht="12.75" x14ac:dyDescent="0.2">
      <c r="A12" s="4">
        <v>5</v>
      </c>
      <c r="B12" s="6">
        <v>44166</v>
      </c>
      <c r="C12" s="122">
        <v>44166</v>
      </c>
      <c r="D12" s="91" t="s">
        <v>97</v>
      </c>
      <c r="E12" s="123" t="s">
        <v>61</v>
      </c>
      <c r="F12" s="94">
        <v>50</v>
      </c>
      <c r="G12" s="94" t="s">
        <v>3</v>
      </c>
      <c r="H12" s="95">
        <v>115.64</v>
      </c>
      <c r="I12" s="10">
        <f t="shared" si="0"/>
        <v>5782</v>
      </c>
    </row>
    <row r="13" spans="1:13" s="76" customFormat="1" ht="12.75" x14ac:dyDescent="0.2">
      <c r="A13" s="4">
        <v>6</v>
      </c>
      <c r="B13" s="6">
        <v>45230</v>
      </c>
      <c r="C13" s="122">
        <v>45230</v>
      </c>
      <c r="D13" s="91" t="s">
        <v>198</v>
      </c>
      <c r="E13" s="123" t="s">
        <v>297</v>
      </c>
      <c r="F13" s="94">
        <f>50-7</f>
        <v>43</v>
      </c>
      <c r="G13" s="94" t="s">
        <v>3</v>
      </c>
      <c r="H13" s="95">
        <v>805.50340000000006</v>
      </c>
      <c r="I13" s="10">
        <f t="shared" si="0"/>
        <v>34636.646200000003</v>
      </c>
      <c r="K13" s="77"/>
    </row>
    <row r="14" spans="1:13" s="76" customFormat="1" ht="12.75" x14ac:dyDescent="0.2">
      <c r="A14" s="4">
        <v>7</v>
      </c>
      <c r="B14" s="6">
        <v>45230</v>
      </c>
      <c r="C14" s="122">
        <v>45230</v>
      </c>
      <c r="D14" s="91" t="s">
        <v>299</v>
      </c>
      <c r="E14" s="123" t="s">
        <v>287</v>
      </c>
      <c r="F14" s="94">
        <f>350-38-17-24</f>
        <v>271</v>
      </c>
      <c r="G14" s="94" t="s">
        <v>3</v>
      </c>
      <c r="H14" s="95">
        <v>42.951999999999998</v>
      </c>
      <c r="I14" s="10">
        <f t="shared" si="0"/>
        <v>11639.992</v>
      </c>
      <c r="J14" s="112"/>
      <c r="K14" s="112"/>
      <c r="L14" s="112"/>
      <c r="M14" s="112"/>
    </row>
    <row r="15" spans="1:13" s="77" customFormat="1" ht="12.75" x14ac:dyDescent="0.2">
      <c r="A15" s="4">
        <v>8</v>
      </c>
      <c r="B15" s="6">
        <v>44796</v>
      </c>
      <c r="C15" s="122">
        <v>44796</v>
      </c>
      <c r="D15" s="91" t="s">
        <v>221</v>
      </c>
      <c r="E15" s="123" t="s">
        <v>218</v>
      </c>
      <c r="F15" s="94">
        <f>398-60-40-10-10-47-10-45-20-10</f>
        <v>146</v>
      </c>
      <c r="G15" s="94" t="s">
        <v>3</v>
      </c>
      <c r="H15" s="95">
        <v>413</v>
      </c>
      <c r="I15" s="10">
        <f t="shared" si="0"/>
        <v>60298</v>
      </c>
    </row>
    <row r="16" spans="1:13" s="77" customFormat="1" ht="12.75" x14ac:dyDescent="0.2">
      <c r="A16" s="4">
        <v>9</v>
      </c>
      <c r="B16" s="6">
        <v>44753</v>
      </c>
      <c r="C16" s="122">
        <v>44753</v>
      </c>
      <c r="D16" s="91" t="s">
        <v>98</v>
      </c>
      <c r="E16" s="123" t="s">
        <v>63</v>
      </c>
      <c r="F16" s="94">
        <f>200-12-16-22-27-1-14-32</f>
        <v>76</v>
      </c>
      <c r="G16" s="94" t="s">
        <v>3</v>
      </c>
      <c r="H16" s="95">
        <v>109.69</v>
      </c>
      <c r="I16" s="10">
        <f>F16*H16</f>
        <v>8336.44</v>
      </c>
    </row>
    <row r="17" spans="1:11" s="77" customFormat="1" ht="12.75" x14ac:dyDescent="0.2">
      <c r="A17" s="4">
        <v>10</v>
      </c>
      <c r="B17" s="6">
        <v>45230</v>
      </c>
      <c r="C17" s="122">
        <v>45230</v>
      </c>
      <c r="D17" s="91" t="s">
        <v>98</v>
      </c>
      <c r="E17" s="123" t="s">
        <v>63</v>
      </c>
      <c r="F17" s="94">
        <v>275</v>
      </c>
      <c r="G17" s="94" t="s">
        <v>3</v>
      </c>
      <c r="H17" s="95">
        <v>240.602</v>
      </c>
      <c r="I17" s="10">
        <f>F17*H17</f>
        <v>66165.55</v>
      </c>
    </row>
    <row r="18" spans="1:11" s="77" customFormat="1" ht="12.75" x14ac:dyDescent="0.2">
      <c r="A18" s="4">
        <v>11</v>
      </c>
      <c r="B18" s="6">
        <v>45230</v>
      </c>
      <c r="C18" s="122">
        <v>45230</v>
      </c>
      <c r="D18" s="91" t="s">
        <v>300</v>
      </c>
      <c r="E18" s="123" t="s">
        <v>292</v>
      </c>
      <c r="F18" s="94">
        <f>4800-242-33-43</f>
        <v>4482</v>
      </c>
      <c r="G18" s="94" t="s">
        <v>3</v>
      </c>
      <c r="H18" s="95">
        <v>11.829166000000001</v>
      </c>
      <c r="I18" s="10">
        <f>F18*H18</f>
        <v>53018.322012000004</v>
      </c>
    </row>
    <row r="19" spans="1:11" s="77" customFormat="1" ht="12.75" x14ac:dyDescent="0.2">
      <c r="A19" s="4">
        <v>12</v>
      </c>
      <c r="B19" s="6">
        <v>45230</v>
      </c>
      <c r="C19" s="122">
        <v>45230</v>
      </c>
      <c r="D19" s="91" t="s">
        <v>219</v>
      </c>
      <c r="E19" s="123" t="s">
        <v>211</v>
      </c>
      <c r="F19" s="94">
        <f>1200-2-11</f>
        <v>1187</v>
      </c>
      <c r="G19" s="94" t="s">
        <v>3</v>
      </c>
      <c r="H19" s="95">
        <v>14.4998416666</v>
      </c>
      <c r="I19" s="10">
        <f>F19*H19</f>
        <v>17211.3120582542</v>
      </c>
    </row>
    <row r="20" spans="1:11" s="77" customFormat="1" ht="12.75" x14ac:dyDescent="0.2">
      <c r="A20" s="4">
        <v>13</v>
      </c>
      <c r="B20" s="6">
        <v>44748</v>
      </c>
      <c r="C20" s="122">
        <v>44748</v>
      </c>
      <c r="D20" s="91" t="s">
        <v>197</v>
      </c>
      <c r="E20" s="123" t="s">
        <v>187</v>
      </c>
      <c r="F20" s="94">
        <f>75-1-2-5-5-9-3-5-5</f>
        <v>40</v>
      </c>
      <c r="G20" s="94" t="s">
        <v>3</v>
      </c>
      <c r="H20" s="124">
        <v>33.630000000000003</v>
      </c>
      <c r="I20" s="10">
        <f t="shared" ref="I20:I64" si="1">+F20*H20</f>
        <v>1345.2</v>
      </c>
    </row>
    <row r="21" spans="1:11" s="77" customFormat="1" ht="12.75" x14ac:dyDescent="0.2">
      <c r="A21" s="4">
        <v>14</v>
      </c>
      <c r="B21" s="6">
        <v>45133</v>
      </c>
      <c r="C21" s="122">
        <v>45133</v>
      </c>
      <c r="D21" s="91" t="s">
        <v>267</v>
      </c>
      <c r="E21" s="123" t="s">
        <v>266</v>
      </c>
      <c r="F21" s="94">
        <f>15-2-2</f>
        <v>11</v>
      </c>
      <c r="G21" s="94" t="s">
        <v>3</v>
      </c>
      <c r="H21" s="124">
        <v>11657.22</v>
      </c>
      <c r="I21" s="10">
        <f t="shared" si="1"/>
        <v>128229.42</v>
      </c>
    </row>
    <row r="22" spans="1:11" s="77" customFormat="1" ht="12.75" x14ac:dyDescent="0.2">
      <c r="A22" s="4">
        <v>15</v>
      </c>
      <c r="B22" s="6">
        <v>44748</v>
      </c>
      <c r="C22" s="122">
        <v>44748</v>
      </c>
      <c r="D22" s="125" t="s">
        <v>101</v>
      </c>
      <c r="E22" s="123" t="s">
        <v>254</v>
      </c>
      <c r="F22" s="94">
        <f>119-4-4-14-12-14-5-1</f>
        <v>65</v>
      </c>
      <c r="G22" s="94" t="s">
        <v>3</v>
      </c>
      <c r="H22" s="95">
        <v>57.23</v>
      </c>
      <c r="I22" s="10">
        <f t="shared" si="1"/>
        <v>3719.95</v>
      </c>
    </row>
    <row r="23" spans="1:11" s="77" customFormat="1" ht="12.75" x14ac:dyDescent="0.2">
      <c r="A23" s="4">
        <v>16</v>
      </c>
      <c r="B23" s="6">
        <v>45230</v>
      </c>
      <c r="C23" s="122">
        <v>45230</v>
      </c>
      <c r="D23" s="125" t="s">
        <v>101</v>
      </c>
      <c r="E23" s="123" t="s">
        <v>254</v>
      </c>
      <c r="F23" s="94">
        <v>200</v>
      </c>
      <c r="G23" s="94" t="s">
        <v>3</v>
      </c>
      <c r="H23" s="95">
        <v>76.11</v>
      </c>
      <c r="I23" s="10">
        <f t="shared" si="1"/>
        <v>15222</v>
      </c>
    </row>
    <row r="24" spans="1:11" s="77" customFormat="1" ht="12.75" x14ac:dyDescent="0.2">
      <c r="A24" s="4">
        <v>17</v>
      </c>
      <c r="B24" s="6">
        <v>44753</v>
      </c>
      <c r="C24" s="122">
        <v>44753</v>
      </c>
      <c r="D24" s="125" t="s">
        <v>101</v>
      </c>
      <c r="E24" s="123" t="s">
        <v>37</v>
      </c>
      <c r="F24" s="94">
        <f>155-7-1-16-10-12-19</f>
        <v>90</v>
      </c>
      <c r="G24" s="94" t="s">
        <v>3</v>
      </c>
      <c r="H24" s="95">
        <v>64.900000000000006</v>
      </c>
      <c r="I24" s="10">
        <f t="shared" si="1"/>
        <v>5841.0000000000009</v>
      </c>
    </row>
    <row r="25" spans="1:11" s="77" customFormat="1" ht="12.75" x14ac:dyDescent="0.2">
      <c r="A25" s="4">
        <v>18</v>
      </c>
      <c r="B25" s="6">
        <v>45230</v>
      </c>
      <c r="C25" s="122">
        <v>45230</v>
      </c>
      <c r="D25" s="125" t="s">
        <v>101</v>
      </c>
      <c r="E25" s="123" t="s">
        <v>37</v>
      </c>
      <c r="F25" s="94">
        <v>120</v>
      </c>
      <c r="G25" s="94" t="s">
        <v>3</v>
      </c>
      <c r="H25" s="95">
        <v>120.95</v>
      </c>
      <c r="I25" s="10">
        <f t="shared" si="1"/>
        <v>14514</v>
      </c>
    </row>
    <row r="26" spans="1:11" s="77" customFormat="1" ht="12.75" x14ac:dyDescent="0.2">
      <c r="A26" s="4">
        <v>19</v>
      </c>
      <c r="B26" s="6">
        <v>45230</v>
      </c>
      <c r="C26" s="122">
        <v>45230</v>
      </c>
      <c r="D26" s="91" t="s">
        <v>301</v>
      </c>
      <c r="E26" s="123" t="s">
        <v>285</v>
      </c>
      <c r="F26" s="94">
        <f>200-103-5-36</f>
        <v>56</v>
      </c>
      <c r="G26" s="94" t="s">
        <v>3</v>
      </c>
      <c r="H26" s="95">
        <v>78.765000000000001</v>
      </c>
      <c r="I26" s="10">
        <f t="shared" si="1"/>
        <v>4410.84</v>
      </c>
    </row>
    <row r="27" spans="1:11" s="77" customFormat="1" ht="12.75" x14ac:dyDescent="0.2">
      <c r="A27" s="4">
        <v>20</v>
      </c>
      <c r="B27" s="6">
        <v>44551</v>
      </c>
      <c r="C27" s="122">
        <v>44551</v>
      </c>
      <c r="D27" s="91" t="s">
        <v>102</v>
      </c>
      <c r="E27" s="123" t="s">
        <v>58</v>
      </c>
      <c r="F27" s="94">
        <f>100-8-4-15-2-2-6-5</f>
        <v>58</v>
      </c>
      <c r="G27" s="94" t="s">
        <v>13</v>
      </c>
      <c r="H27" s="126">
        <v>74.34</v>
      </c>
      <c r="I27" s="10">
        <f t="shared" si="1"/>
        <v>4311.72</v>
      </c>
    </row>
    <row r="28" spans="1:11" s="76" customFormat="1" ht="12.75" x14ac:dyDescent="0.2">
      <c r="A28" s="4">
        <v>21</v>
      </c>
      <c r="B28" s="6">
        <v>44753</v>
      </c>
      <c r="C28" s="122">
        <v>44753</v>
      </c>
      <c r="D28" s="91" t="s">
        <v>102</v>
      </c>
      <c r="E28" s="123" t="s">
        <v>58</v>
      </c>
      <c r="F28" s="94">
        <v>50</v>
      </c>
      <c r="G28" s="94" t="s">
        <v>13</v>
      </c>
      <c r="H28" s="126">
        <v>44.073</v>
      </c>
      <c r="I28" s="10">
        <f t="shared" si="1"/>
        <v>2203.65</v>
      </c>
    </row>
    <row r="29" spans="1:11" s="77" customFormat="1" ht="12.75" x14ac:dyDescent="0.2">
      <c r="A29" s="4">
        <v>22</v>
      </c>
      <c r="B29" s="6">
        <v>44166</v>
      </c>
      <c r="C29" s="122">
        <v>44166</v>
      </c>
      <c r="D29" s="91" t="s">
        <v>103</v>
      </c>
      <c r="E29" s="123" t="s">
        <v>55</v>
      </c>
      <c r="F29" s="94">
        <f>184-15-25</f>
        <v>144</v>
      </c>
      <c r="G29" s="94" t="s">
        <v>13</v>
      </c>
      <c r="H29" s="126">
        <v>130.08320000000001</v>
      </c>
      <c r="I29" s="10">
        <f t="shared" si="1"/>
        <v>18731.980800000001</v>
      </c>
    </row>
    <row r="30" spans="1:11" s="5" customFormat="1" ht="12.75" x14ac:dyDescent="0.2">
      <c r="A30" s="4">
        <v>23</v>
      </c>
      <c r="B30" s="6">
        <v>44748</v>
      </c>
      <c r="C30" s="122">
        <v>44748</v>
      </c>
      <c r="D30" s="91" t="s">
        <v>103</v>
      </c>
      <c r="E30" s="123" t="s">
        <v>55</v>
      </c>
      <c r="F30" s="94">
        <v>225</v>
      </c>
      <c r="G30" s="94" t="s">
        <v>13</v>
      </c>
      <c r="H30" s="95">
        <v>14.75</v>
      </c>
      <c r="I30" s="10">
        <f t="shared" si="1"/>
        <v>3318.75</v>
      </c>
    </row>
    <row r="31" spans="1:11" s="5" customFormat="1" ht="12.75" x14ac:dyDescent="0.2">
      <c r="A31" s="4">
        <v>24</v>
      </c>
      <c r="B31" s="6">
        <v>45230</v>
      </c>
      <c r="C31" s="122">
        <v>45230</v>
      </c>
      <c r="D31" s="91" t="s">
        <v>103</v>
      </c>
      <c r="E31" s="123" t="s">
        <v>55</v>
      </c>
      <c r="F31" s="94">
        <v>225</v>
      </c>
      <c r="G31" s="94" t="s">
        <v>13</v>
      </c>
      <c r="H31" s="95">
        <v>20.532</v>
      </c>
      <c r="I31" s="10">
        <f t="shared" si="1"/>
        <v>4619.7</v>
      </c>
      <c r="K31" s="77"/>
    </row>
    <row r="32" spans="1:11" s="77" customFormat="1" ht="12.75" x14ac:dyDescent="0.2">
      <c r="A32" s="4">
        <v>25</v>
      </c>
      <c r="B32" s="6">
        <v>43826</v>
      </c>
      <c r="C32" s="122">
        <v>43826</v>
      </c>
      <c r="D32" s="91" t="s">
        <v>104</v>
      </c>
      <c r="E32" s="123" t="s">
        <v>7</v>
      </c>
      <c r="F32" s="94">
        <f>1179-36-1-25-18-30-73-6-11</f>
        <v>979</v>
      </c>
      <c r="G32" s="94" t="s">
        <v>13</v>
      </c>
      <c r="H32" s="95">
        <v>11.21</v>
      </c>
      <c r="I32" s="10">
        <f t="shared" si="1"/>
        <v>10974.59</v>
      </c>
    </row>
    <row r="33" spans="1:11" s="77" customFormat="1" ht="12.75" x14ac:dyDescent="0.2">
      <c r="A33" s="4">
        <v>26</v>
      </c>
      <c r="B33" s="6">
        <v>43826</v>
      </c>
      <c r="C33" s="122">
        <v>43826</v>
      </c>
      <c r="D33" s="91" t="s">
        <v>105</v>
      </c>
      <c r="E33" s="123" t="s">
        <v>30</v>
      </c>
      <c r="F33" s="94">
        <f>386-18-5-18-23-46-26-4-8</f>
        <v>238</v>
      </c>
      <c r="G33" s="94" t="s">
        <v>13</v>
      </c>
      <c r="H33" s="95">
        <v>31.329000000000001</v>
      </c>
      <c r="I33" s="10">
        <f t="shared" si="1"/>
        <v>7456.3020000000006</v>
      </c>
    </row>
    <row r="34" spans="1:11" s="77" customFormat="1" ht="12.75" x14ac:dyDescent="0.2">
      <c r="A34" s="4">
        <v>27</v>
      </c>
      <c r="B34" s="6">
        <v>44748</v>
      </c>
      <c r="C34" s="122">
        <v>44748</v>
      </c>
      <c r="D34" s="91" t="s">
        <v>106</v>
      </c>
      <c r="E34" s="123" t="s">
        <v>56</v>
      </c>
      <c r="F34" s="94">
        <f>156-2-4-14-6-16-5</f>
        <v>109</v>
      </c>
      <c r="G34" s="94" t="s">
        <v>13</v>
      </c>
      <c r="H34" s="95">
        <v>34.101999999999997</v>
      </c>
      <c r="I34" s="10">
        <f t="shared" si="1"/>
        <v>3717.1179999999995</v>
      </c>
    </row>
    <row r="35" spans="1:11" s="77" customFormat="1" ht="12.75" x14ac:dyDescent="0.2">
      <c r="A35" s="4">
        <v>28</v>
      </c>
      <c r="B35" s="6">
        <v>45230</v>
      </c>
      <c r="C35" s="122">
        <v>45230</v>
      </c>
      <c r="D35" s="91" t="s">
        <v>106</v>
      </c>
      <c r="E35" s="123" t="s">
        <v>56</v>
      </c>
      <c r="F35" s="94">
        <v>250</v>
      </c>
      <c r="G35" s="94" t="s">
        <v>13</v>
      </c>
      <c r="H35" s="95">
        <v>101.952</v>
      </c>
      <c r="I35" s="10">
        <f t="shared" si="1"/>
        <v>25488</v>
      </c>
    </row>
    <row r="36" spans="1:11" s="77" customFormat="1" ht="12.75" x14ac:dyDescent="0.2">
      <c r="A36" s="4">
        <v>29</v>
      </c>
      <c r="B36" s="6">
        <v>43826</v>
      </c>
      <c r="C36" s="122">
        <v>43826</v>
      </c>
      <c r="D36" s="91" t="s">
        <v>107</v>
      </c>
      <c r="E36" s="123" t="s">
        <v>33</v>
      </c>
      <c r="F36" s="94">
        <f>196-1-8-12-2-6-4-1</f>
        <v>162</v>
      </c>
      <c r="G36" s="94" t="s">
        <v>13</v>
      </c>
      <c r="H36" s="95">
        <v>277.3</v>
      </c>
      <c r="I36" s="10">
        <f t="shared" si="1"/>
        <v>44922.6</v>
      </c>
    </row>
    <row r="37" spans="1:11" s="77" customFormat="1" ht="12.75" x14ac:dyDescent="0.2">
      <c r="A37" s="4">
        <v>30</v>
      </c>
      <c r="B37" s="6">
        <v>44166</v>
      </c>
      <c r="C37" s="122">
        <v>44166</v>
      </c>
      <c r="D37" s="91" t="s">
        <v>108</v>
      </c>
      <c r="E37" s="123" t="s">
        <v>57</v>
      </c>
      <c r="F37" s="94">
        <f>250-1-2-9-3-5-8-2-2-9-2-5-10-10-5-25-10-9-4-6-1</f>
        <v>122</v>
      </c>
      <c r="G37" s="94" t="s">
        <v>13</v>
      </c>
      <c r="H37" s="95">
        <v>141.6</v>
      </c>
      <c r="I37" s="10">
        <f t="shared" si="1"/>
        <v>17275.2</v>
      </c>
    </row>
    <row r="38" spans="1:11" s="5" customFormat="1" ht="12.75" x14ac:dyDescent="0.2">
      <c r="A38" s="4">
        <v>31</v>
      </c>
      <c r="B38" s="6">
        <v>44748</v>
      </c>
      <c r="C38" s="122">
        <v>44748</v>
      </c>
      <c r="D38" s="91" t="s">
        <v>108</v>
      </c>
      <c r="E38" s="123" t="s">
        <v>57</v>
      </c>
      <c r="F38" s="94">
        <v>250</v>
      </c>
      <c r="G38" s="94" t="s">
        <v>13</v>
      </c>
      <c r="H38" s="95">
        <v>160.36199999999999</v>
      </c>
      <c r="I38" s="10">
        <f t="shared" si="1"/>
        <v>40090.5</v>
      </c>
    </row>
    <row r="39" spans="1:11" s="5" customFormat="1" ht="12.75" x14ac:dyDescent="0.2">
      <c r="A39" s="4">
        <v>32</v>
      </c>
      <c r="B39" s="6">
        <v>45230</v>
      </c>
      <c r="C39" s="122">
        <v>45230</v>
      </c>
      <c r="D39" s="91" t="s">
        <v>108</v>
      </c>
      <c r="E39" s="123" t="s">
        <v>57</v>
      </c>
      <c r="F39" s="94">
        <v>250</v>
      </c>
      <c r="G39" s="94" t="s">
        <v>13</v>
      </c>
      <c r="H39" s="95">
        <v>168.50399999999999</v>
      </c>
      <c r="I39" s="10">
        <f t="shared" si="1"/>
        <v>42126</v>
      </c>
      <c r="K39" s="77"/>
    </row>
    <row r="40" spans="1:11" s="77" customFormat="1" ht="12.75" x14ac:dyDescent="0.2">
      <c r="A40" s="94">
        <v>33</v>
      </c>
      <c r="B40" s="122">
        <v>43685</v>
      </c>
      <c r="C40" s="122">
        <v>43685</v>
      </c>
      <c r="D40" s="91" t="s">
        <v>109</v>
      </c>
      <c r="E40" s="123" t="s">
        <v>8</v>
      </c>
      <c r="F40" s="94">
        <f>117-4-2-1-3-1-6-1-2-1-1-1-1-5-1-1-1-3-2-6-2-1-2</f>
        <v>69</v>
      </c>
      <c r="G40" s="94" t="s">
        <v>3</v>
      </c>
      <c r="H40" s="95">
        <v>259.60000000000002</v>
      </c>
      <c r="I40" s="10">
        <f t="shared" si="1"/>
        <v>17912.400000000001</v>
      </c>
    </row>
    <row r="41" spans="1:11" s="76" customFormat="1" ht="12.75" x14ac:dyDescent="0.2">
      <c r="A41" s="4">
        <v>34</v>
      </c>
      <c r="B41" s="6">
        <v>44748</v>
      </c>
      <c r="C41" s="122">
        <v>44748</v>
      </c>
      <c r="D41" s="91" t="s">
        <v>109</v>
      </c>
      <c r="E41" s="123" t="s">
        <v>8</v>
      </c>
      <c r="F41" s="94">
        <v>100</v>
      </c>
      <c r="G41" s="94" t="s">
        <v>3</v>
      </c>
      <c r="H41" s="95">
        <v>130.38999999999999</v>
      </c>
      <c r="I41" s="10">
        <f t="shared" si="1"/>
        <v>13038.999999999998</v>
      </c>
    </row>
    <row r="42" spans="1:11" s="77" customFormat="1" ht="12.75" x14ac:dyDescent="0.2">
      <c r="A42" s="4">
        <v>36</v>
      </c>
      <c r="B42" s="6">
        <v>44897</v>
      </c>
      <c r="C42" s="122">
        <v>44897</v>
      </c>
      <c r="D42" s="91" t="s">
        <v>242</v>
      </c>
      <c r="E42" s="123" t="s">
        <v>234</v>
      </c>
      <c r="F42" s="94">
        <f>675-13-42-20-30-21-21-14-2-14-18-20-20-8-37</f>
        <v>395</v>
      </c>
      <c r="G42" s="94" t="s">
        <v>13</v>
      </c>
      <c r="H42" s="126">
        <v>490.29</v>
      </c>
      <c r="I42" s="10">
        <f t="shared" si="1"/>
        <v>193664.55000000002</v>
      </c>
    </row>
    <row r="43" spans="1:11" s="77" customFormat="1" ht="12.75" x14ac:dyDescent="0.2">
      <c r="A43" s="4">
        <v>37</v>
      </c>
      <c r="B43" s="6">
        <v>45230</v>
      </c>
      <c r="C43" s="122">
        <v>45230</v>
      </c>
      <c r="D43" s="91" t="s">
        <v>242</v>
      </c>
      <c r="E43" s="123" t="s">
        <v>234</v>
      </c>
      <c r="F43" s="94">
        <v>100</v>
      </c>
      <c r="G43" s="94" t="s">
        <v>13</v>
      </c>
      <c r="H43" s="126">
        <v>470.23</v>
      </c>
      <c r="I43" s="10">
        <f t="shared" si="1"/>
        <v>47023</v>
      </c>
    </row>
    <row r="44" spans="1:11" s="77" customFormat="1" ht="12.75" x14ac:dyDescent="0.2">
      <c r="A44" s="4">
        <v>38</v>
      </c>
      <c r="B44" s="6">
        <v>44897</v>
      </c>
      <c r="C44" s="122">
        <v>44897</v>
      </c>
      <c r="D44" s="91" t="s">
        <v>243</v>
      </c>
      <c r="E44" s="123" t="s">
        <v>235</v>
      </c>
      <c r="F44" s="94">
        <f>100-2-9-2-2-2-3-2-1-2-2-1-2</f>
        <v>70</v>
      </c>
      <c r="G44" s="94" t="s">
        <v>13</v>
      </c>
      <c r="H44" s="126">
        <v>706.23</v>
      </c>
      <c r="I44" s="10">
        <f t="shared" si="1"/>
        <v>49436.1</v>
      </c>
    </row>
    <row r="45" spans="1:11" s="77" customFormat="1" ht="12.75" x14ac:dyDescent="0.2">
      <c r="A45" s="4">
        <v>39</v>
      </c>
      <c r="B45" s="6">
        <v>45230</v>
      </c>
      <c r="C45" s="122">
        <v>45230</v>
      </c>
      <c r="D45" s="91" t="s">
        <v>243</v>
      </c>
      <c r="E45" s="123" t="s">
        <v>235</v>
      </c>
      <c r="F45" s="94">
        <v>50</v>
      </c>
      <c r="G45" s="94" t="s">
        <v>13</v>
      </c>
      <c r="H45" s="126">
        <v>685.49739999999997</v>
      </c>
      <c r="I45" s="10">
        <f t="shared" si="1"/>
        <v>34274.869999999995</v>
      </c>
    </row>
    <row r="46" spans="1:11" s="76" customFormat="1" ht="12.75" x14ac:dyDescent="0.2">
      <c r="A46" s="4">
        <v>40</v>
      </c>
      <c r="B46" s="6">
        <v>44897</v>
      </c>
      <c r="C46" s="122">
        <v>44897</v>
      </c>
      <c r="D46" s="91" t="s">
        <v>244</v>
      </c>
      <c r="E46" s="123" t="s">
        <v>236</v>
      </c>
      <c r="F46" s="94">
        <f>1150-200</f>
        <v>950</v>
      </c>
      <c r="G46" s="94" t="s">
        <v>3</v>
      </c>
      <c r="H46" s="126">
        <v>156.70400000000001</v>
      </c>
      <c r="I46" s="10">
        <f t="shared" si="1"/>
        <v>148868.80000000002</v>
      </c>
    </row>
    <row r="47" spans="1:11" s="76" customFormat="1" ht="12.75" x14ac:dyDescent="0.2">
      <c r="A47" s="4">
        <v>41</v>
      </c>
      <c r="B47" s="6">
        <v>44897</v>
      </c>
      <c r="C47" s="122">
        <v>44897</v>
      </c>
      <c r="D47" s="91" t="s">
        <v>244</v>
      </c>
      <c r="E47" s="123" t="s">
        <v>320</v>
      </c>
      <c r="F47" s="94">
        <f>1150-200</f>
        <v>950</v>
      </c>
      <c r="G47" s="94" t="s">
        <v>3</v>
      </c>
      <c r="H47" s="126">
        <v>156.70400000000001</v>
      </c>
      <c r="I47" s="10">
        <f t="shared" si="1"/>
        <v>148868.80000000002</v>
      </c>
    </row>
    <row r="48" spans="1:11" s="77" customFormat="1" ht="12.75" x14ac:dyDescent="0.2">
      <c r="A48" s="4">
        <v>42</v>
      </c>
      <c r="B48" s="6">
        <v>45230</v>
      </c>
      <c r="C48" s="122">
        <v>45230</v>
      </c>
      <c r="D48" s="91" t="s">
        <v>110</v>
      </c>
      <c r="E48" s="123" t="s">
        <v>9</v>
      </c>
      <c r="F48" s="127">
        <f>100-1-2-10</f>
        <v>87</v>
      </c>
      <c r="G48" s="127" t="s">
        <v>13</v>
      </c>
      <c r="H48" s="128">
        <v>267.86</v>
      </c>
      <c r="I48" s="10">
        <f t="shared" si="1"/>
        <v>23303.82</v>
      </c>
    </row>
    <row r="49" spans="1:11" s="77" customFormat="1" ht="12.75" x14ac:dyDescent="0.2">
      <c r="A49" s="4">
        <v>43</v>
      </c>
      <c r="B49" s="17">
        <v>44551</v>
      </c>
      <c r="C49" s="129">
        <v>44551</v>
      </c>
      <c r="D49" s="91" t="s">
        <v>112</v>
      </c>
      <c r="E49" s="130" t="s">
        <v>186</v>
      </c>
      <c r="F49" s="127">
        <f>208-2-7-96-15-73</f>
        <v>15</v>
      </c>
      <c r="G49" s="127" t="s">
        <v>13</v>
      </c>
      <c r="H49" s="128">
        <v>67.260000000000005</v>
      </c>
      <c r="I49" s="18">
        <f t="shared" si="1"/>
        <v>1008.9000000000001</v>
      </c>
    </row>
    <row r="50" spans="1:11" s="76" customFormat="1" ht="12.75" x14ac:dyDescent="0.2">
      <c r="A50" s="4">
        <v>44</v>
      </c>
      <c r="B50" s="17">
        <v>44748</v>
      </c>
      <c r="C50" s="129">
        <v>44749</v>
      </c>
      <c r="D50" s="91" t="s">
        <v>112</v>
      </c>
      <c r="E50" s="130" t="s">
        <v>186</v>
      </c>
      <c r="F50" s="127">
        <v>300</v>
      </c>
      <c r="G50" s="127" t="s">
        <v>13</v>
      </c>
      <c r="H50" s="128">
        <v>44.25</v>
      </c>
      <c r="I50" s="18">
        <f t="shared" si="1"/>
        <v>13275</v>
      </c>
    </row>
    <row r="51" spans="1:11" s="76" customFormat="1" ht="12.75" x14ac:dyDescent="0.2">
      <c r="A51" s="4">
        <v>45</v>
      </c>
      <c r="B51" s="6">
        <v>45230</v>
      </c>
      <c r="C51" s="122">
        <v>45230</v>
      </c>
      <c r="D51" s="91" t="s">
        <v>112</v>
      </c>
      <c r="E51" s="130" t="s">
        <v>186</v>
      </c>
      <c r="F51" s="127">
        <v>500</v>
      </c>
      <c r="G51" s="127" t="s">
        <v>13</v>
      </c>
      <c r="H51" s="128">
        <v>65.489999999999995</v>
      </c>
      <c r="I51" s="18">
        <f t="shared" si="1"/>
        <v>32744.999999999996</v>
      </c>
      <c r="K51" s="77"/>
    </row>
    <row r="52" spans="1:11" s="77" customFormat="1" ht="12.75" x14ac:dyDescent="0.2">
      <c r="A52" s="4">
        <v>46</v>
      </c>
      <c r="B52" s="6">
        <v>44166</v>
      </c>
      <c r="C52" s="122">
        <v>44166</v>
      </c>
      <c r="D52" s="91" t="s">
        <v>111</v>
      </c>
      <c r="E52" s="123" t="s">
        <v>35</v>
      </c>
      <c r="F52" s="94">
        <f>8-2-1</f>
        <v>5</v>
      </c>
      <c r="G52" s="94" t="s">
        <v>3</v>
      </c>
      <c r="H52" s="126">
        <v>767</v>
      </c>
      <c r="I52" s="10">
        <f t="shared" si="1"/>
        <v>3835</v>
      </c>
    </row>
    <row r="53" spans="1:11" s="77" customFormat="1" ht="12.75" x14ac:dyDescent="0.2">
      <c r="A53" s="4">
        <v>47</v>
      </c>
      <c r="B53" s="6">
        <v>42312</v>
      </c>
      <c r="C53" s="122">
        <v>42312</v>
      </c>
      <c r="D53" s="91" t="s">
        <v>112</v>
      </c>
      <c r="E53" s="123" t="s">
        <v>10</v>
      </c>
      <c r="F53" s="94">
        <f>68-1-2-9-2-8-2-1-2-1</f>
        <v>40</v>
      </c>
      <c r="G53" s="94" t="s">
        <v>13</v>
      </c>
      <c r="H53" s="126">
        <v>425.48</v>
      </c>
      <c r="I53" s="10">
        <f t="shared" si="1"/>
        <v>17019.2</v>
      </c>
    </row>
    <row r="54" spans="1:11" s="77" customFormat="1" ht="12.75" x14ac:dyDescent="0.2">
      <c r="A54" s="4">
        <v>49</v>
      </c>
      <c r="B54" s="6">
        <v>44748</v>
      </c>
      <c r="C54" s="122">
        <v>44748</v>
      </c>
      <c r="D54" s="91" t="s">
        <v>113</v>
      </c>
      <c r="E54" s="123" t="s">
        <v>27</v>
      </c>
      <c r="F54" s="94">
        <f>1227-99-14-127-128-169-73-32-16</f>
        <v>569</v>
      </c>
      <c r="G54" s="94" t="s">
        <v>3</v>
      </c>
      <c r="H54" s="95">
        <v>9.2083333333000006</v>
      </c>
      <c r="I54" s="10">
        <f t="shared" si="1"/>
        <v>5239.5416666477004</v>
      </c>
    </row>
    <row r="55" spans="1:11" s="77" customFormat="1" ht="12.75" x14ac:dyDescent="0.2">
      <c r="A55" s="4">
        <v>50</v>
      </c>
      <c r="B55" s="6">
        <v>45230</v>
      </c>
      <c r="C55" s="122">
        <v>45230</v>
      </c>
      <c r="D55" s="91" t="s">
        <v>113</v>
      </c>
      <c r="E55" s="123" t="s">
        <v>27</v>
      </c>
      <c r="F55" s="94">
        <v>3600</v>
      </c>
      <c r="G55" s="94" t="s">
        <v>3</v>
      </c>
      <c r="H55" s="95">
        <v>4.7708333300000003</v>
      </c>
      <c r="I55" s="10">
        <f t="shared" si="1"/>
        <v>17174.999988</v>
      </c>
    </row>
    <row r="56" spans="1:11" s="76" customFormat="1" ht="12.75" x14ac:dyDescent="0.2">
      <c r="A56" s="4">
        <v>51</v>
      </c>
      <c r="B56" s="6">
        <v>44748</v>
      </c>
      <c r="C56" s="122">
        <v>44748</v>
      </c>
      <c r="D56" s="91" t="s">
        <v>214</v>
      </c>
      <c r="E56" s="123" t="s">
        <v>213</v>
      </c>
      <c r="F56" s="94">
        <f>20-1-3-1</f>
        <v>15</v>
      </c>
      <c r="G56" s="94" t="s">
        <v>3</v>
      </c>
      <c r="H56" s="95">
        <v>476.13</v>
      </c>
      <c r="I56" s="10">
        <f t="shared" si="1"/>
        <v>7141.95</v>
      </c>
    </row>
    <row r="57" spans="1:11" s="76" customFormat="1" ht="12.75" x14ac:dyDescent="0.2">
      <c r="A57" s="4">
        <v>52</v>
      </c>
      <c r="B57" s="6">
        <v>45230</v>
      </c>
      <c r="C57" s="122">
        <v>45230</v>
      </c>
      <c r="D57" s="91" t="s">
        <v>214</v>
      </c>
      <c r="E57" s="123" t="s">
        <v>295</v>
      </c>
      <c r="F57" s="94">
        <v>460</v>
      </c>
      <c r="G57" s="94" t="s">
        <v>3</v>
      </c>
      <c r="H57" s="95">
        <v>69.295500000000004</v>
      </c>
      <c r="I57" s="10">
        <f t="shared" si="1"/>
        <v>31875.93</v>
      </c>
      <c r="K57" s="77"/>
    </row>
    <row r="58" spans="1:11" s="76" customFormat="1" ht="12.75" x14ac:dyDescent="0.2">
      <c r="A58" s="4">
        <v>53</v>
      </c>
      <c r="B58" s="6">
        <v>45230</v>
      </c>
      <c r="C58" s="122">
        <v>45230</v>
      </c>
      <c r="D58" s="91" t="s">
        <v>302</v>
      </c>
      <c r="E58" s="123" t="s">
        <v>293</v>
      </c>
      <c r="F58" s="94">
        <f>130-44-9-61</f>
        <v>16</v>
      </c>
      <c r="G58" s="94" t="s">
        <v>3</v>
      </c>
      <c r="H58" s="95">
        <v>397.49476900000002</v>
      </c>
      <c r="I58" s="10">
        <f t="shared" si="1"/>
        <v>6359.9163040000003</v>
      </c>
      <c r="J58" s="77"/>
      <c r="K58" s="77"/>
    </row>
    <row r="59" spans="1:11" s="76" customFormat="1" ht="12.75" x14ac:dyDescent="0.2">
      <c r="A59" s="4">
        <v>54</v>
      </c>
      <c r="B59" s="6">
        <v>45230</v>
      </c>
      <c r="C59" s="122">
        <v>45230</v>
      </c>
      <c r="D59" s="91" t="s">
        <v>303</v>
      </c>
      <c r="E59" s="123" t="s">
        <v>294</v>
      </c>
      <c r="F59" s="94">
        <f>141-1</f>
        <v>140</v>
      </c>
      <c r="G59" s="94" t="s">
        <v>3</v>
      </c>
      <c r="H59" s="95">
        <v>385.49418400000002</v>
      </c>
      <c r="I59" s="10">
        <f t="shared" si="1"/>
        <v>53969.18576</v>
      </c>
      <c r="K59" s="77"/>
    </row>
    <row r="60" spans="1:11" s="76" customFormat="1" ht="12.75" x14ac:dyDescent="0.2">
      <c r="A60" s="4">
        <v>55</v>
      </c>
      <c r="B60" s="6">
        <v>44166</v>
      </c>
      <c r="C60" s="122">
        <v>44166</v>
      </c>
      <c r="D60" s="91" t="s">
        <v>114</v>
      </c>
      <c r="E60" s="123" t="s">
        <v>62</v>
      </c>
      <c r="F60" s="94">
        <f>130-22</f>
        <v>108</v>
      </c>
      <c r="G60" s="94" t="s">
        <v>3</v>
      </c>
      <c r="H60" s="95">
        <v>218.3</v>
      </c>
      <c r="I60" s="10">
        <f t="shared" si="1"/>
        <v>23576.400000000001</v>
      </c>
      <c r="K60" s="77"/>
    </row>
    <row r="61" spans="1:11" s="77" customFormat="1" ht="12.75" x14ac:dyDescent="0.2">
      <c r="A61" s="4">
        <v>56</v>
      </c>
      <c r="B61" s="6">
        <v>44166</v>
      </c>
      <c r="C61" s="122">
        <v>44166</v>
      </c>
      <c r="D61" s="91" t="s">
        <v>115</v>
      </c>
      <c r="E61" s="123" t="s">
        <v>161</v>
      </c>
      <c r="F61" s="94">
        <f>1449-19-1-30-32-31-32-18-30</f>
        <v>1256</v>
      </c>
      <c r="G61" s="94" t="s">
        <v>3</v>
      </c>
      <c r="H61" s="126">
        <v>78.666666000000006</v>
      </c>
      <c r="I61" s="10">
        <f t="shared" si="1"/>
        <v>98805.332496000003</v>
      </c>
    </row>
    <row r="62" spans="1:11" s="77" customFormat="1" ht="12.75" x14ac:dyDescent="0.2">
      <c r="A62" s="4">
        <v>57</v>
      </c>
      <c r="B62" s="6">
        <v>44551</v>
      </c>
      <c r="C62" s="122">
        <v>44551</v>
      </c>
      <c r="D62" s="125" t="s">
        <v>116</v>
      </c>
      <c r="E62" s="123" t="s">
        <v>40</v>
      </c>
      <c r="F62" s="94">
        <f>62-6-8-4-8-15</f>
        <v>21</v>
      </c>
      <c r="G62" s="94" t="s">
        <v>3</v>
      </c>
      <c r="H62" s="95">
        <v>48.38</v>
      </c>
      <c r="I62" s="10">
        <f t="shared" si="1"/>
        <v>1015.98</v>
      </c>
    </row>
    <row r="63" spans="1:11" s="77" customFormat="1" ht="12.75" x14ac:dyDescent="0.2">
      <c r="A63" s="4">
        <v>58</v>
      </c>
      <c r="B63" s="6">
        <v>45230</v>
      </c>
      <c r="C63" s="122">
        <v>45230</v>
      </c>
      <c r="D63" s="125" t="s">
        <v>116</v>
      </c>
      <c r="E63" s="123" t="s">
        <v>40</v>
      </c>
      <c r="F63" s="94">
        <v>1200</v>
      </c>
      <c r="G63" s="94" t="s">
        <v>3</v>
      </c>
      <c r="H63" s="95">
        <v>90.27</v>
      </c>
      <c r="I63" s="10">
        <f t="shared" si="1"/>
        <v>108324</v>
      </c>
    </row>
    <row r="64" spans="1:11" s="77" customFormat="1" ht="12.75" x14ac:dyDescent="0.2">
      <c r="A64" s="4">
        <v>59</v>
      </c>
      <c r="B64" s="6">
        <v>45230</v>
      </c>
      <c r="C64" s="122">
        <v>45230</v>
      </c>
      <c r="D64" s="91" t="s">
        <v>117</v>
      </c>
      <c r="E64" s="123" t="s">
        <v>183</v>
      </c>
      <c r="F64" s="94">
        <f>350-75</f>
        <v>275</v>
      </c>
      <c r="G64" s="94" t="s">
        <v>3</v>
      </c>
      <c r="H64" s="95">
        <v>30.054600000000001</v>
      </c>
      <c r="I64" s="10">
        <f t="shared" si="1"/>
        <v>8265.0149999999994</v>
      </c>
    </row>
    <row r="65" spans="1:11" s="77" customFormat="1" ht="12.75" x14ac:dyDescent="0.2">
      <c r="A65" s="4">
        <v>60</v>
      </c>
      <c r="B65" s="6">
        <v>44518</v>
      </c>
      <c r="C65" s="122">
        <v>44518</v>
      </c>
      <c r="D65" s="91" t="s">
        <v>118</v>
      </c>
      <c r="E65" s="123" t="s">
        <v>162</v>
      </c>
      <c r="F65" s="94">
        <f>12-1-1-2-1-1-2-1-1</f>
        <v>2</v>
      </c>
      <c r="G65" s="94" t="s">
        <v>3</v>
      </c>
      <c r="H65" s="95">
        <v>899.75</v>
      </c>
      <c r="I65" s="10">
        <f>H65*F65</f>
        <v>1799.5</v>
      </c>
    </row>
    <row r="66" spans="1:11" s="77" customFormat="1" ht="12.75" x14ac:dyDescent="0.2">
      <c r="A66" s="4">
        <v>61</v>
      </c>
      <c r="B66" s="6">
        <v>44518</v>
      </c>
      <c r="C66" s="122">
        <v>44518</v>
      </c>
      <c r="D66" s="91" t="s">
        <v>118</v>
      </c>
      <c r="E66" s="123" t="s">
        <v>163</v>
      </c>
      <c r="F66" s="94">
        <f>12-1-2-1-2-1-1</f>
        <v>4</v>
      </c>
      <c r="G66" s="94" t="s">
        <v>3</v>
      </c>
      <c r="H66" s="95">
        <v>1172.625</v>
      </c>
      <c r="I66" s="10">
        <f>H66*F66</f>
        <v>4690.5</v>
      </c>
    </row>
    <row r="67" spans="1:11" s="76" customFormat="1" ht="12.75" x14ac:dyDescent="0.2">
      <c r="A67" s="4">
        <v>62</v>
      </c>
      <c r="B67" s="6">
        <v>43329</v>
      </c>
      <c r="C67" s="122">
        <v>43329</v>
      </c>
      <c r="D67" s="91" t="s">
        <v>118</v>
      </c>
      <c r="E67" s="123" t="s">
        <v>26</v>
      </c>
      <c r="F67" s="94">
        <f>36-1</f>
        <v>35</v>
      </c>
      <c r="G67" s="94" t="s">
        <v>14</v>
      </c>
      <c r="H67" s="126">
        <v>283.91000000000003</v>
      </c>
      <c r="I67" s="10">
        <f t="shared" ref="I67:I100" si="2">+F67*H67</f>
        <v>9936.85</v>
      </c>
    </row>
    <row r="68" spans="1:11" s="77" customFormat="1" ht="12.75" x14ac:dyDescent="0.2">
      <c r="A68" s="4">
        <v>63</v>
      </c>
      <c r="B68" s="6">
        <v>45014</v>
      </c>
      <c r="C68" s="122">
        <v>45014</v>
      </c>
      <c r="D68" s="91" t="s">
        <v>251</v>
      </c>
      <c r="E68" s="123" t="s">
        <v>252</v>
      </c>
      <c r="F68" s="94">
        <f>5000-365-308-190-39-213-262-322-318-125-260</f>
        <v>2598</v>
      </c>
      <c r="G68" s="94" t="s">
        <v>14</v>
      </c>
      <c r="H68" s="126">
        <v>299.36599999999999</v>
      </c>
      <c r="I68" s="10">
        <f t="shared" si="2"/>
        <v>777752.86800000002</v>
      </c>
    </row>
    <row r="69" spans="1:11" s="77" customFormat="1" ht="12.75" x14ac:dyDescent="0.2">
      <c r="A69" s="4">
        <v>64</v>
      </c>
      <c r="B69" s="6">
        <v>44518</v>
      </c>
      <c r="C69" s="122">
        <v>44518</v>
      </c>
      <c r="D69" s="91" t="s">
        <v>164</v>
      </c>
      <c r="E69" s="123" t="s">
        <v>165</v>
      </c>
      <c r="F69" s="94">
        <f>1000-25-21-16-30-36-24-18-42-22-27-32-28-44-19-69-30-99-41-46-33-4-25-31-18-28-23-126</f>
        <v>43</v>
      </c>
      <c r="G69" s="94" t="s">
        <v>14</v>
      </c>
      <c r="H69" s="126">
        <v>295.88499999999999</v>
      </c>
      <c r="I69" s="10">
        <f t="shared" si="2"/>
        <v>12723.055</v>
      </c>
    </row>
    <row r="70" spans="1:11" s="5" customFormat="1" ht="12.75" x14ac:dyDescent="0.2">
      <c r="A70" s="4">
        <v>65</v>
      </c>
      <c r="B70" s="6">
        <v>44761</v>
      </c>
      <c r="C70" s="122">
        <v>44761</v>
      </c>
      <c r="D70" s="91" t="s">
        <v>164</v>
      </c>
      <c r="E70" s="123" t="s">
        <v>165</v>
      </c>
      <c r="F70" s="94">
        <v>1100</v>
      </c>
      <c r="G70" s="94" t="s">
        <v>14</v>
      </c>
      <c r="H70" s="126">
        <v>402.99360000000001</v>
      </c>
      <c r="I70" s="10">
        <f t="shared" si="2"/>
        <v>443292.96</v>
      </c>
    </row>
    <row r="71" spans="1:11" s="77" customFormat="1" ht="12.75" x14ac:dyDescent="0.2">
      <c r="A71" s="4">
        <v>66</v>
      </c>
      <c r="B71" s="6">
        <v>44166</v>
      </c>
      <c r="C71" s="122">
        <v>44166</v>
      </c>
      <c r="D71" s="91" t="s">
        <v>121</v>
      </c>
      <c r="E71" s="123" t="s">
        <v>59</v>
      </c>
      <c r="F71" s="94">
        <f>250-9-4-3-2-3-3-2-2-2-2-8-3-5-1-5-1-6-3-2-1-3-32-4-5-2-3-2-3-1-4-3-1-2</f>
        <v>118</v>
      </c>
      <c r="G71" s="94" t="s">
        <v>3</v>
      </c>
      <c r="H71" s="95">
        <v>436.6</v>
      </c>
      <c r="I71" s="10">
        <f t="shared" si="2"/>
        <v>51518.8</v>
      </c>
    </row>
    <row r="72" spans="1:11" s="76" customFormat="1" ht="12.75" x14ac:dyDescent="0.2">
      <c r="A72" s="4">
        <v>67</v>
      </c>
      <c r="B72" s="6">
        <v>44748</v>
      </c>
      <c r="C72" s="122">
        <v>44748</v>
      </c>
      <c r="D72" s="91" t="s">
        <v>121</v>
      </c>
      <c r="E72" s="123" t="s">
        <v>59</v>
      </c>
      <c r="F72" s="94">
        <v>142</v>
      </c>
      <c r="G72" s="94" t="s">
        <v>3</v>
      </c>
      <c r="H72" s="95">
        <v>305.02999999999997</v>
      </c>
      <c r="I72" s="10">
        <f t="shared" si="2"/>
        <v>43314.259999999995</v>
      </c>
    </row>
    <row r="73" spans="1:11" s="76" customFormat="1" ht="12.75" x14ac:dyDescent="0.2">
      <c r="A73" s="4">
        <v>68</v>
      </c>
      <c r="B73" s="6">
        <v>44166</v>
      </c>
      <c r="C73" s="122">
        <v>44166</v>
      </c>
      <c r="D73" s="91" t="s">
        <v>122</v>
      </c>
      <c r="E73" s="123" t="s">
        <v>60</v>
      </c>
      <c r="F73" s="94">
        <f>10-1</f>
        <v>9</v>
      </c>
      <c r="G73" s="94" t="s">
        <v>3</v>
      </c>
      <c r="H73" s="95">
        <v>554.6</v>
      </c>
      <c r="I73" s="10">
        <f t="shared" si="2"/>
        <v>4991.4000000000005</v>
      </c>
    </row>
    <row r="74" spans="1:11" s="77" customFormat="1" ht="12.75" x14ac:dyDescent="0.2">
      <c r="A74" s="4">
        <v>69</v>
      </c>
      <c r="B74" s="6">
        <v>44166</v>
      </c>
      <c r="C74" s="122">
        <v>44166</v>
      </c>
      <c r="D74" s="91" t="s">
        <v>123</v>
      </c>
      <c r="E74" s="123" t="s">
        <v>36</v>
      </c>
      <c r="F74" s="94">
        <f>200-5-2-2-1-3-1-1-3-3-4-2-38-10-3-3-3-1-2-1-2</f>
        <v>110</v>
      </c>
      <c r="G74" s="94" t="s">
        <v>3</v>
      </c>
      <c r="H74" s="95">
        <v>47.2</v>
      </c>
      <c r="I74" s="10">
        <f t="shared" si="2"/>
        <v>5192</v>
      </c>
    </row>
    <row r="75" spans="1:11" s="76" customFormat="1" ht="12.75" x14ac:dyDescent="0.2">
      <c r="A75" s="4">
        <v>70</v>
      </c>
      <c r="B75" s="6">
        <v>44748</v>
      </c>
      <c r="C75" s="122">
        <v>44748</v>
      </c>
      <c r="D75" s="91" t="s">
        <v>123</v>
      </c>
      <c r="E75" s="123" t="s">
        <v>36</v>
      </c>
      <c r="F75" s="94">
        <v>150</v>
      </c>
      <c r="G75" s="94" t="s">
        <v>3</v>
      </c>
      <c r="H75" s="95">
        <v>40.71</v>
      </c>
      <c r="I75" s="10">
        <f t="shared" si="2"/>
        <v>6106.5</v>
      </c>
    </row>
    <row r="76" spans="1:11" s="76" customFormat="1" ht="12.75" x14ac:dyDescent="0.2">
      <c r="A76" s="4">
        <v>71</v>
      </c>
      <c r="B76" s="6">
        <v>45230</v>
      </c>
      <c r="C76" s="122">
        <v>45230</v>
      </c>
      <c r="D76" s="91" t="s">
        <v>123</v>
      </c>
      <c r="E76" s="123" t="s">
        <v>36</v>
      </c>
      <c r="F76" s="94">
        <v>100</v>
      </c>
      <c r="G76" s="94" t="s">
        <v>3</v>
      </c>
      <c r="H76" s="95">
        <v>66.08</v>
      </c>
      <c r="I76" s="10">
        <f t="shared" si="2"/>
        <v>6608</v>
      </c>
      <c r="K76" s="77"/>
    </row>
    <row r="77" spans="1:11" s="77" customFormat="1" ht="12.75" x14ac:dyDescent="0.2">
      <c r="A77" s="4">
        <v>72</v>
      </c>
      <c r="B77" s="6">
        <v>44166</v>
      </c>
      <c r="C77" s="122">
        <v>44166</v>
      </c>
      <c r="D77" s="91" t="s">
        <v>124</v>
      </c>
      <c r="E77" s="123" t="s">
        <v>11</v>
      </c>
      <c r="F77" s="94">
        <f>200-1-2-4-8-5-1-5-1-5-3-1-2-2-4-9-4-4-9-5-7-3-3-58-10-5-1-1-2-8-3-2-2</f>
        <v>20</v>
      </c>
      <c r="G77" s="94" t="s">
        <v>3</v>
      </c>
      <c r="H77" s="95">
        <v>100.3</v>
      </c>
      <c r="I77" s="10">
        <f t="shared" si="2"/>
        <v>2006</v>
      </c>
    </row>
    <row r="78" spans="1:11" s="76" customFormat="1" ht="12.75" x14ac:dyDescent="0.2">
      <c r="A78" s="4">
        <v>73</v>
      </c>
      <c r="B78" s="6">
        <v>44748</v>
      </c>
      <c r="C78" s="122">
        <v>44748</v>
      </c>
      <c r="D78" s="91" t="s">
        <v>124</v>
      </c>
      <c r="E78" s="123" t="s">
        <v>11</v>
      </c>
      <c r="F78" s="94">
        <f>150-4</f>
        <v>146</v>
      </c>
      <c r="G78" s="94" t="s">
        <v>3</v>
      </c>
      <c r="H78" s="95">
        <v>51.33</v>
      </c>
      <c r="I78" s="10">
        <f t="shared" si="2"/>
        <v>7494.1799999999994</v>
      </c>
      <c r="K78" s="112"/>
    </row>
    <row r="79" spans="1:11" s="76" customFormat="1" ht="12.75" x14ac:dyDescent="0.2">
      <c r="A79" s="4">
        <v>74</v>
      </c>
      <c r="B79" s="6">
        <v>45230</v>
      </c>
      <c r="C79" s="122">
        <v>45230</v>
      </c>
      <c r="D79" s="91" t="s">
        <v>124</v>
      </c>
      <c r="E79" s="123" t="s">
        <v>11</v>
      </c>
      <c r="F79" s="94">
        <v>100</v>
      </c>
      <c r="G79" s="94" t="s">
        <v>3</v>
      </c>
      <c r="H79" s="95">
        <v>86.73</v>
      </c>
      <c r="I79" s="10">
        <f t="shared" si="2"/>
        <v>8673</v>
      </c>
      <c r="K79" s="77"/>
    </row>
    <row r="80" spans="1:11" s="77" customFormat="1" ht="12.75" x14ac:dyDescent="0.2">
      <c r="A80" s="4">
        <v>75</v>
      </c>
      <c r="B80" s="6">
        <v>44166</v>
      </c>
      <c r="C80" s="122">
        <v>44166</v>
      </c>
      <c r="D80" s="91" t="s">
        <v>125</v>
      </c>
      <c r="E80" s="123" t="s">
        <v>38</v>
      </c>
      <c r="F80" s="94">
        <f>1200-7-28-9-9-10-15-17-11-10-40-30-17-10-6-39-20-21-18-13-7-30-22-37-7-89-50-43-66-70-5-2-24-22-20-25-10-31</f>
        <v>310</v>
      </c>
      <c r="G80" s="94" t="s">
        <v>3</v>
      </c>
      <c r="H80" s="95">
        <v>47.9375</v>
      </c>
      <c r="I80" s="10">
        <f t="shared" si="2"/>
        <v>14860.625</v>
      </c>
    </row>
    <row r="81" spans="1:10" s="77" customFormat="1" ht="12.75" x14ac:dyDescent="0.2">
      <c r="A81" s="4">
        <v>76</v>
      </c>
      <c r="B81" s="6">
        <v>45230</v>
      </c>
      <c r="C81" s="122">
        <v>45230</v>
      </c>
      <c r="D81" s="91" t="s">
        <v>125</v>
      </c>
      <c r="E81" s="123" t="s">
        <v>38</v>
      </c>
      <c r="F81" s="94">
        <v>1200</v>
      </c>
      <c r="G81" s="94" t="s">
        <v>3</v>
      </c>
      <c r="H81" s="95">
        <v>64.427999999999997</v>
      </c>
      <c r="I81" s="10">
        <f t="shared" si="2"/>
        <v>77313.599999999991</v>
      </c>
    </row>
    <row r="82" spans="1:10" s="77" customFormat="1" ht="12.75" x14ac:dyDescent="0.2">
      <c r="A82" s="4">
        <v>77</v>
      </c>
      <c r="B82" s="6">
        <v>44748</v>
      </c>
      <c r="C82" s="122">
        <v>44748</v>
      </c>
      <c r="D82" s="91" t="s">
        <v>253</v>
      </c>
      <c r="E82" s="123" t="s">
        <v>257</v>
      </c>
      <c r="F82" s="94">
        <f>2039-63-8-32-59-84-55-23-9</f>
        <v>1706</v>
      </c>
      <c r="G82" s="94" t="s">
        <v>3</v>
      </c>
      <c r="H82" s="95">
        <v>29.66</v>
      </c>
      <c r="I82" s="10">
        <f t="shared" si="2"/>
        <v>50599.96</v>
      </c>
    </row>
    <row r="83" spans="1:10" s="77" customFormat="1" ht="12.75" x14ac:dyDescent="0.2">
      <c r="A83" s="4">
        <v>78</v>
      </c>
      <c r="B83" s="6">
        <v>45230</v>
      </c>
      <c r="C83" s="122">
        <v>45230</v>
      </c>
      <c r="D83" s="91" t="s">
        <v>253</v>
      </c>
      <c r="E83" s="123" t="s">
        <v>257</v>
      </c>
      <c r="F83" s="94">
        <v>1800</v>
      </c>
      <c r="G83" s="94" t="s">
        <v>3</v>
      </c>
      <c r="H83" s="95">
        <v>41.630400000000002</v>
      </c>
      <c r="I83" s="10">
        <f t="shared" si="2"/>
        <v>74934.720000000001</v>
      </c>
    </row>
    <row r="84" spans="1:10" s="77" customFormat="1" ht="12.75" x14ac:dyDescent="0.2">
      <c r="A84" s="4">
        <v>79</v>
      </c>
      <c r="B84" s="6">
        <v>45230</v>
      </c>
      <c r="C84" s="122">
        <v>45230</v>
      </c>
      <c r="D84" s="91" t="s">
        <v>304</v>
      </c>
      <c r="E84" s="123" t="s">
        <v>296</v>
      </c>
      <c r="F84" s="94">
        <f>1800-19-7-55</f>
        <v>1719</v>
      </c>
      <c r="G84" s="94" t="s">
        <v>3</v>
      </c>
      <c r="H84" s="95">
        <v>38.999983329999999</v>
      </c>
      <c r="I84" s="10">
        <f t="shared" si="2"/>
        <v>67040.971344270001</v>
      </c>
    </row>
    <row r="85" spans="1:10" s="77" customFormat="1" ht="12.75" x14ac:dyDescent="0.2">
      <c r="A85" s="4">
        <v>80</v>
      </c>
      <c r="B85" s="6">
        <v>45230</v>
      </c>
      <c r="C85" s="122">
        <v>45230</v>
      </c>
      <c r="D85" s="91" t="s">
        <v>126</v>
      </c>
      <c r="E85" s="123" t="s">
        <v>31</v>
      </c>
      <c r="F85" s="94">
        <f>300-65</f>
        <v>235</v>
      </c>
      <c r="G85" s="94" t="s">
        <v>3</v>
      </c>
      <c r="H85" s="95">
        <v>19.47</v>
      </c>
      <c r="I85" s="10">
        <f t="shared" si="2"/>
        <v>4575.45</v>
      </c>
    </row>
    <row r="86" spans="1:10" s="77" customFormat="1" ht="12.75" x14ac:dyDescent="0.2">
      <c r="A86" s="4">
        <v>81</v>
      </c>
      <c r="B86" s="6">
        <v>44748</v>
      </c>
      <c r="C86" s="122">
        <v>44748</v>
      </c>
      <c r="D86" s="91" t="s">
        <v>127</v>
      </c>
      <c r="E86" s="123" t="s">
        <v>22</v>
      </c>
      <c r="F86" s="94">
        <f>75-2-5-7-3-7-3-9-7-2-3-1-2</f>
        <v>24</v>
      </c>
      <c r="G86" s="94" t="s">
        <v>3</v>
      </c>
      <c r="H86" s="95">
        <v>30.443999999999999</v>
      </c>
      <c r="I86" s="10">
        <f t="shared" si="2"/>
        <v>730.65599999999995</v>
      </c>
    </row>
    <row r="87" spans="1:10" s="77" customFormat="1" ht="12.75" x14ac:dyDescent="0.2">
      <c r="A87" s="4">
        <v>82</v>
      </c>
      <c r="B87" s="6">
        <v>45230</v>
      </c>
      <c r="C87" s="122">
        <v>45230</v>
      </c>
      <c r="D87" s="91" t="s">
        <v>127</v>
      </c>
      <c r="E87" s="123" t="s">
        <v>22</v>
      </c>
      <c r="F87" s="94">
        <v>150</v>
      </c>
      <c r="G87" s="94" t="s">
        <v>3</v>
      </c>
      <c r="H87" s="95">
        <v>80.098399999999998</v>
      </c>
      <c r="I87" s="10">
        <f t="shared" si="2"/>
        <v>12014.76</v>
      </c>
    </row>
    <row r="88" spans="1:10" s="77" customFormat="1" ht="12.75" x14ac:dyDescent="0.2">
      <c r="A88" s="4">
        <v>83</v>
      </c>
      <c r="B88" s="6">
        <v>44753</v>
      </c>
      <c r="C88" s="122">
        <v>44753</v>
      </c>
      <c r="D88" s="91" t="s">
        <v>195</v>
      </c>
      <c r="E88" s="123" t="s">
        <v>184</v>
      </c>
      <c r="F88" s="94">
        <f>100-3-2-10-12-4-13</f>
        <v>56</v>
      </c>
      <c r="G88" s="94" t="s">
        <v>3</v>
      </c>
      <c r="H88" s="95">
        <v>17.640999999999998</v>
      </c>
      <c r="I88" s="10">
        <f t="shared" si="2"/>
        <v>987.89599999999996</v>
      </c>
    </row>
    <row r="89" spans="1:10" s="77" customFormat="1" ht="12.75" x14ac:dyDescent="0.2">
      <c r="A89" s="4">
        <v>84</v>
      </c>
      <c r="B89" s="6">
        <v>45230</v>
      </c>
      <c r="C89" s="122">
        <v>45230</v>
      </c>
      <c r="D89" s="91" t="s">
        <v>308</v>
      </c>
      <c r="E89" s="123" t="s">
        <v>286</v>
      </c>
      <c r="F89" s="94">
        <f>100-14-6-10</f>
        <v>70</v>
      </c>
      <c r="G89" s="94" t="s">
        <v>3</v>
      </c>
      <c r="H89" s="95">
        <v>43.07</v>
      </c>
      <c r="I89" s="10">
        <f t="shared" si="2"/>
        <v>3014.9</v>
      </c>
    </row>
    <row r="90" spans="1:10" s="77" customFormat="1" ht="12.75" x14ac:dyDescent="0.2">
      <c r="A90" s="4">
        <v>85</v>
      </c>
      <c r="B90" s="6">
        <v>44166</v>
      </c>
      <c r="C90" s="122">
        <v>44166</v>
      </c>
      <c r="D90" s="91" t="s">
        <v>128</v>
      </c>
      <c r="E90" s="123" t="s">
        <v>34</v>
      </c>
      <c r="F90" s="94">
        <f>310+24-6-3-9-2-8-11-3-5-6-5-25-13-22-28-15-4-29-17-23-18-3-13</f>
        <v>66</v>
      </c>
      <c r="G90" s="94" t="s">
        <v>3</v>
      </c>
      <c r="H90" s="126">
        <v>5.9</v>
      </c>
      <c r="I90" s="10">
        <f t="shared" si="2"/>
        <v>389.40000000000003</v>
      </c>
    </row>
    <row r="91" spans="1:10" s="76" customFormat="1" ht="12.75" x14ac:dyDescent="0.2">
      <c r="A91" s="4">
        <v>86</v>
      </c>
      <c r="B91" s="6">
        <v>44748</v>
      </c>
      <c r="C91" s="122">
        <v>44748</v>
      </c>
      <c r="D91" s="91" t="s">
        <v>128</v>
      </c>
      <c r="E91" s="123" t="s">
        <v>34</v>
      </c>
      <c r="F91" s="94">
        <v>200</v>
      </c>
      <c r="G91" s="94" t="s">
        <v>3</v>
      </c>
      <c r="H91" s="95">
        <v>5.31</v>
      </c>
      <c r="I91" s="10">
        <f t="shared" si="2"/>
        <v>1062</v>
      </c>
    </row>
    <row r="92" spans="1:10" s="77" customFormat="1" ht="12.75" x14ac:dyDescent="0.2">
      <c r="A92" s="4">
        <v>87</v>
      </c>
      <c r="B92" s="6">
        <v>44173</v>
      </c>
      <c r="C92" s="122">
        <v>44173</v>
      </c>
      <c r="D92" s="91" t="s">
        <v>129</v>
      </c>
      <c r="E92" s="123" t="s">
        <v>54</v>
      </c>
      <c r="F92" s="94">
        <f>5000-793-250-255-210-180-280</f>
        <v>3032</v>
      </c>
      <c r="G92" s="94" t="s">
        <v>3</v>
      </c>
      <c r="H92" s="95">
        <v>4.8097000000000003</v>
      </c>
      <c r="I92" s="10">
        <f t="shared" si="2"/>
        <v>14583.010400000001</v>
      </c>
    </row>
    <row r="93" spans="1:10" s="77" customFormat="1" ht="12.75" x14ac:dyDescent="0.2">
      <c r="A93" s="94">
        <v>88</v>
      </c>
      <c r="B93" s="122">
        <v>45268</v>
      </c>
      <c r="C93" s="122">
        <v>45268</v>
      </c>
      <c r="D93" s="91" t="s">
        <v>129</v>
      </c>
      <c r="E93" s="123" t="s">
        <v>54</v>
      </c>
      <c r="F93" s="94">
        <v>8</v>
      </c>
      <c r="G93" s="94" t="s">
        <v>13</v>
      </c>
      <c r="H93" s="95">
        <v>2885.855</v>
      </c>
      <c r="I93" s="131">
        <f t="shared" si="2"/>
        <v>23086.84</v>
      </c>
      <c r="J93" s="112"/>
    </row>
    <row r="94" spans="1:10" s="77" customFormat="1" ht="12.75" x14ac:dyDescent="0.2">
      <c r="A94" s="94">
        <v>89</v>
      </c>
      <c r="B94" s="122">
        <v>45268</v>
      </c>
      <c r="C94" s="122">
        <v>45268</v>
      </c>
      <c r="D94" s="91" t="s">
        <v>129</v>
      </c>
      <c r="E94" s="123" t="s">
        <v>311</v>
      </c>
      <c r="F94" s="94">
        <v>1</v>
      </c>
      <c r="G94" s="94" t="s">
        <v>310</v>
      </c>
      <c r="H94" s="95">
        <v>9274.2099999999991</v>
      </c>
      <c r="I94" s="131">
        <f t="shared" si="2"/>
        <v>9274.2099999999991</v>
      </c>
      <c r="J94" s="112"/>
    </row>
    <row r="95" spans="1:10" s="77" customFormat="1" ht="12.75" x14ac:dyDescent="0.2">
      <c r="A95" s="4">
        <v>90</v>
      </c>
      <c r="B95" s="6">
        <v>45230</v>
      </c>
      <c r="C95" s="122">
        <v>45230</v>
      </c>
      <c r="D95" s="91" t="s">
        <v>306</v>
      </c>
      <c r="E95" s="123" t="s">
        <v>289</v>
      </c>
      <c r="F95" s="94">
        <f>75-2-1-4</f>
        <v>68</v>
      </c>
      <c r="G95" s="94" t="s">
        <v>3</v>
      </c>
      <c r="H95" s="95">
        <v>2545.4960000000001</v>
      </c>
      <c r="I95" s="10">
        <f t="shared" si="2"/>
        <v>173093.728</v>
      </c>
    </row>
    <row r="96" spans="1:10" s="77" customFormat="1" ht="12.75" x14ac:dyDescent="0.2">
      <c r="A96" s="4">
        <v>91</v>
      </c>
      <c r="B96" s="6">
        <v>45230</v>
      </c>
      <c r="C96" s="122">
        <v>45230</v>
      </c>
      <c r="D96" s="91" t="s">
        <v>305</v>
      </c>
      <c r="E96" s="123" t="s">
        <v>290</v>
      </c>
      <c r="F96" s="94">
        <v>20</v>
      </c>
      <c r="G96" s="94" t="s">
        <v>3</v>
      </c>
      <c r="H96" s="95">
        <v>3528.2</v>
      </c>
      <c r="I96" s="10">
        <f t="shared" si="2"/>
        <v>70564</v>
      </c>
    </row>
    <row r="97" spans="1:10" s="77" customFormat="1" ht="12.75" x14ac:dyDescent="0.2">
      <c r="A97" s="4">
        <v>92</v>
      </c>
      <c r="B97" s="6">
        <v>45230</v>
      </c>
      <c r="C97" s="122">
        <v>45230</v>
      </c>
      <c r="D97" s="91" t="s">
        <v>307</v>
      </c>
      <c r="E97" s="123" t="s">
        <v>291</v>
      </c>
      <c r="F97" s="94">
        <f>58-10-2</f>
        <v>46</v>
      </c>
      <c r="G97" s="94" t="s">
        <v>3</v>
      </c>
      <c r="H97" s="95">
        <v>118.49550000000001</v>
      </c>
      <c r="I97" s="10">
        <f t="shared" si="2"/>
        <v>5450.7930000000006</v>
      </c>
    </row>
    <row r="98" spans="1:10" s="77" customFormat="1" ht="12.75" x14ac:dyDescent="0.2">
      <c r="A98" s="4">
        <v>93</v>
      </c>
      <c r="B98" s="6">
        <v>44748</v>
      </c>
      <c r="C98" s="122">
        <v>44749</v>
      </c>
      <c r="D98" s="91" t="s">
        <v>194</v>
      </c>
      <c r="E98" s="123" t="s">
        <v>185</v>
      </c>
      <c r="F98" s="94">
        <f>100-8-6-3-11-4-2-7-22-6-3</f>
        <v>28</v>
      </c>
      <c r="G98" s="94" t="s">
        <v>3</v>
      </c>
      <c r="H98" s="95">
        <v>395.89</v>
      </c>
      <c r="I98" s="10">
        <f t="shared" si="2"/>
        <v>11084.92</v>
      </c>
    </row>
    <row r="99" spans="1:10" s="77" customFormat="1" ht="12.75" x14ac:dyDescent="0.2">
      <c r="A99" s="4">
        <v>94</v>
      </c>
      <c r="B99" s="6">
        <v>45230</v>
      </c>
      <c r="C99" s="122">
        <v>45230</v>
      </c>
      <c r="D99" s="91" t="s">
        <v>194</v>
      </c>
      <c r="E99" s="123" t="s">
        <v>185</v>
      </c>
      <c r="F99" s="94">
        <f>100-5</f>
        <v>95</v>
      </c>
      <c r="G99" s="94" t="s">
        <v>3</v>
      </c>
      <c r="H99" s="95">
        <v>383.5</v>
      </c>
      <c r="I99" s="10">
        <f t="shared" si="2"/>
        <v>36432.5</v>
      </c>
    </row>
    <row r="100" spans="1:10" s="77" customFormat="1" ht="12.75" x14ac:dyDescent="0.2">
      <c r="A100" s="4">
        <v>95</v>
      </c>
      <c r="B100" s="6">
        <v>40500</v>
      </c>
      <c r="C100" s="122">
        <v>40500</v>
      </c>
      <c r="D100" s="91" t="s">
        <v>130</v>
      </c>
      <c r="E100" s="123" t="s">
        <v>42</v>
      </c>
      <c r="F100" s="94">
        <f>417-7-6-5-6-5-10-13-18-6-6-6-11-6-4-5-7-6-6-6-6-6-7-5-6-5-6-5-12-8-5-5-5-5-2</f>
        <v>190</v>
      </c>
      <c r="G100" s="94" t="s">
        <v>3</v>
      </c>
      <c r="H100" s="95">
        <v>55</v>
      </c>
      <c r="I100" s="10">
        <f t="shared" si="2"/>
        <v>10450</v>
      </c>
    </row>
    <row r="101" spans="1:10" s="77" customFormat="1" ht="12.75" x14ac:dyDescent="0.2">
      <c r="A101" s="4">
        <v>96</v>
      </c>
      <c r="B101" s="6" t="s">
        <v>41</v>
      </c>
      <c r="C101" s="122" t="s">
        <v>41</v>
      </c>
      <c r="D101" s="91" t="s">
        <v>131</v>
      </c>
      <c r="E101" s="123" t="s">
        <v>45</v>
      </c>
      <c r="F101" s="94">
        <f>516-14-5-9-6-6-11-7-6-9-3-7-6-6-10-10-8-6-7-5-6-9-15-10-7-16-4-23-7-6-16-6-7-2-10-8-4-9-2-9</f>
        <v>199</v>
      </c>
      <c r="G101" s="94" t="s">
        <v>3</v>
      </c>
      <c r="H101" s="95">
        <v>110.92</v>
      </c>
      <c r="I101" s="10">
        <f>F101*H101</f>
        <v>22073.08</v>
      </c>
    </row>
    <row r="102" spans="1:10" s="77" customFormat="1" ht="12.75" x14ac:dyDescent="0.2">
      <c r="A102" s="4">
        <v>97</v>
      </c>
      <c r="B102" s="6">
        <v>44748</v>
      </c>
      <c r="C102" s="122">
        <v>44748</v>
      </c>
      <c r="D102" s="91" t="s">
        <v>132</v>
      </c>
      <c r="E102" s="123" t="s">
        <v>47</v>
      </c>
      <c r="F102" s="94">
        <f>100-8-6-2-4-4-6-6-2-5</f>
        <v>57</v>
      </c>
      <c r="G102" s="94" t="s">
        <v>3</v>
      </c>
      <c r="H102" s="95">
        <v>77.644000000000005</v>
      </c>
      <c r="I102" s="10">
        <f>F102*H102</f>
        <v>4425.7080000000005</v>
      </c>
    </row>
    <row r="103" spans="1:10" s="77" customFormat="1" ht="12.75" x14ac:dyDescent="0.2">
      <c r="A103" s="4">
        <v>98</v>
      </c>
      <c r="B103" s="6">
        <v>45230</v>
      </c>
      <c r="C103" s="122">
        <v>45230</v>
      </c>
      <c r="D103" s="91" t="s">
        <v>133</v>
      </c>
      <c r="E103" s="123" t="s">
        <v>32</v>
      </c>
      <c r="F103" s="94">
        <f>100-10-4-21</f>
        <v>65</v>
      </c>
      <c r="G103" s="94" t="s">
        <v>3</v>
      </c>
      <c r="H103" s="95">
        <v>68.44</v>
      </c>
      <c r="I103" s="10">
        <f>F103*H103</f>
        <v>4448.5999999999995</v>
      </c>
    </row>
    <row r="104" spans="1:10" s="5" customFormat="1" ht="12.75" x14ac:dyDescent="0.2">
      <c r="A104" s="4">
        <v>99</v>
      </c>
      <c r="B104" s="6">
        <v>44921</v>
      </c>
      <c r="C104" s="122">
        <v>44921</v>
      </c>
      <c r="D104" s="91" t="s">
        <v>99</v>
      </c>
      <c r="E104" s="123" t="s">
        <v>231</v>
      </c>
      <c r="F104" s="94">
        <v>2</v>
      </c>
      <c r="G104" s="94" t="s">
        <v>3</v>
      </c>
      <c r="H104" s="95">
        <v>4472.2</v>
      </c>
      <c r="I104" s="10">
        <f t="shared" ref="I104:I140" si="3">F104*H104</f>
        <v>8944.4</v>
      </c>
    </row>
    <row r="105" spans="1:10" s="5" customFormat="1" ht="12.75" x14ac:dyDescent="0.2">
      <c r="A105" s="4">
        <v>100</v>
      </c>
      <c r="B105" s="6">
        <v>44921</v>
      </c>
      <c r="C105" s="122">
        <v>44921</v>
      </c>
      <c r="D105" s="91" t="s">
        <v>100</v>
      </c>
      <c r="E105" s="123" t="s">
        <v>232</v>
      </c>
      <c r="F105" s="94">
        <v>2</v>
      </c>
      <c r="G105" s="94" t="s">
        <v>3</v>
      </c>
      <c r="H105" s="95">
        <v>4472.2</v>
      </c>
      <c r="I105" s="10">
        <f t="shared" si="3"/>
        <v>8944.4</v>
      </c>
    </row>
    <row r="106" spans="1:10" s="5" customFormat="1" ht="12.75" x14ac:dyDescent="0.2">
      <c r="A106" s="4">
        <v>101</v>
      </c>
      <c r="B106" s="6">
        <v>44921</v>
      </c>
      <c r="C106" s="122">
        <v>44921</v>
      </c>
      <c r="D106" s="91" t="s">
        <v>245</v>
      </c>
      <c r="E106" s="123" t="s">
        <v>233</v>
      </c>
      <c r="F106" s="94">
        <v>2</v>
      </c>
      <c r="G106" s="94" t="s">
        <v>3</v>
      </c>
      <c r="H106" s="95">
        <v>4472.2</v>
      </c>
      <c r="I106" s="10">
        <f t="shared" si="3"/>
        <v>8944.4</v>
      </c>
    </row>
    <row r="107" spans="1:10" s="77" customFormat="1" ht="12.75" x14ac:dyDescent="0.2">
      <c r="A107" s="4">
        <v>102</v>
      </c>
      <c r="B107" s="6">
        <v>44503</v>
      </c>
      <c r="C107" s="122">
        <v>44503</v>
      </c>
      <c r="D107" s="91" t="s">
        <v>134</v>
      </c>
      <c r="E107" s="123" t="s">
        <v>64</v>
      </c>
      <c r="F107" s="94">
        <f>30-2-2-2-3-2-2-1-1-2-2-2-1-3-2-1</f>
        <v>2</v>
      </c>
      <c r="G107" s="94" t="s">
        <v>3</v>
      </c>
      <c r="H107" s="95">
        <v>3538.82</v>
      </c>
      <c r="I107" s="10">
        <f t="shared" si="3"/>
        <v>7077.64</v>
      </c>
    </row>
    <row r="108" spans="1:10" s="5" customFormat="1" ht="12.75" x14ac:dyDescent="0.2">
      <c r="A108" s="4">
        <v>103</v>
      </c>
      <c r="B108" s="6">
        <v>44707</v>
      </c>
      <c r="C108" s="122">
        <v>44707</v>
      </c>
      <c r="D108" s="91" t="s">
        <v>134</v>
      </c>
      <c r="E108" s="123" t="s">
        <v>64</v>
      </c>
      <c r="F108" s="94">
        <v>25</v>
      </c>
      <c r="G108" s="94" t="s">
        <v>3</v>
      </c>
      <c r="H108" s="95">
        <v>4804.96</v>
      </c>
      <c r="I108" s="10">
        <f t="shared" si="3"/>
        <v>120124</v>
      </c>
      <c r="J108" s="77"/>
    </row>
    <row r="109" spans="1:10" s="5" customFormat="1" ht="12.75" x14ac:dyDescent="0.2">
      <c r="A109" s="4">
        <v>104</v>
      </c>
      <c r="B109" s="6">
        <v>44707</v>
      </c>
      <c r="C109" s="122">
        <v>44707</v>
      </c>
      <c r="D109" s="122" t="s">
        <v>135</v>
      </c>
      <c r="E109" s="123" t="s">
        <v>65</v>
      </c>
      <c r="F109" s="94">
        <f>48-2-3-1</f>
        <v>42</v>
      </c>
      <c r="G109" s="94" t="s">
        <v>3</v>
      </c>
      <c r="H109" s="95">
        <v>4472.2</v>
      </c>
      <c r="I109" s="10">
        <f t="shared" si="3"/>
        <v>187832.4</v>
      </c>
      <c r="J109" s="77"/>
    </row>
    <row r="110" spans="1:10" s="77" customFormat="1" ht="12.75" x14ac:dyDescent="0.2">
      <c r="A110" s="4">
        <v>105</v>
      </c>
      <c r="B110" s="6">
        <v>44707</v>
      </c>
      <c r="C110" s="122">
        <v>44707</v>
      </c>
      <c r="D110" s="122" t="s">
        <v>136</v>
      </c>
      <c r="E110" s="123" t="s">
        <v>66</v>
      </c>
      <c r="F110" s="94">
        <f>12-2-2-3-1</f>
        <v>4</v>
      </c>
      <c r="G110" s="94" t="s">
        <v>3</v>
      </c>
      <c r="H110" s="95">
        <v>4487.54</v>
      </c>
      <c r="I110" s="10">
        <f t="shared" si="3"/>
        <v>17950.16</v>
      </c>
    </row>
    <row r="111" spans="1:10" s="5" customFormat="1" ht="12.75" x14ac:dyDescent="0.2">
      <c r="A111" s="4">
        <v>106</v>
      </c>
      <c r="B111" s="6">
        <v>44921</v>
      </c>
      <c r="C111" s="122">
        <v>44921</v>
      </c>
      <c r="D111" s="122" t="s">
        <v>137</v>
      </c>
      <c r="E111" s="123" t="s">
        <v>67</v>
      </c>
      <c r="F111" s="94">
        <f>5-1-1</f>
        <v>3</v>
      </c>
      <c r="G111" s="94" t="s">
        <v>3</v>
      </c>
      <c r="H111" s="95">
        <v>7268.8</v>
      </c>
      <c r="I111" s="10">
        <f t="shared" si="3"/>
        <v>21806.400000000001</v>
      </c>
      <c r="J111" s="77"/>
    </row>
    <row r="112" spans="1:10" s="77" customFormat="1" ht="12.75" x14ac:dyDescent="0.2">
      <c r="A112" s="4">
        <v>107</v>
      </c>
      <c r="B112" s="6">
        <v>44921</v>
      </c>
      <c r="C112" s="122">
        <v>44921</v>
      </c>
      <c r="D112" s="122" t="s">
        <v>241</v>
      </c>
      <c r="E112" s="123" t="s">
        <v>230</v>
      </c>
      <c r="F112" s="94">
        <f>50-1-2-2-1-3-1-2-2-1-3</f>
        <v>32</v>
      </c>
      <c r="G112" s="94" t="s">
        <v>3</v>
      </c>
      <c r="H112" s="95">
        <v>8602.2000000000007</v>
      </c>
      <c r="I112" s="10">
        <f t="shared" si="3"/>
        <v>275270.40000000002</v>
      </c>
    </row>
    <row r="113" spans="1:10" s="77" customFormat="1" ht="12.75" x14ac:dyDescent="0.2">
      <c r="A113" s="4">
        <v>108</v>
      </c>
      <c r="B113" s="6">
        <v>44921</v>
      </c>
      <c r="C113" s="122">
        <v>44921</v>
      </c>
      <c r="D113" s="122" t="s">
        <v>138</v>
      </c>
      <c r="E113" s="123" t="s">
        <v>68</v>
      </c>
      <c r="F113" s="94">
        <f>15-1-1-1-1-4-1-4</f>
        <v>2</v>
      </c>
      <c r="G113" s="94" t="s">
        <v>3</v>
      </c>
      <c r="H113" s="95">
        <v>11246.58</v>
      </c>
      <c r="I113" s="10">
        <f t="shared" si="3"/>
        <v>22493.16</v>
      </c>
    </row>
    <row r="114" spans="1:10" s="77" customFormat="1" ht="12.75" x14ac:dyDescent="0.2">
      <c r="A114" s="4">
        <v>109</v>
      </c>
      <c r="B114" s="6">
        <v>44921</v>
      </c>
      <c r="C114" s="122">
        <v>44921</v>
      </c>
      <c r="D114" s="91" t="s">
        <v>196</v>
      </c>
      <c r="E114" s="123" t="s">
        <v>69</v>
      </c>
      <c r="F114" s="94">
        <f>300-2-4-10-9-9-4-2-6-10-9-10-9-3-8</f>
        <v>205</v>
      </c>
      <c r="G114" s="94" t="s">
        <v>3</v>
      </c>
      <c r="H114" s="95">
        <v>766.41</v>
      </c>
      <c r="I114" s="10">
        <f t="shared" si="3"/>
        <v>157114.04999999999</v>
      </c>
    </row>
    <row r="115" spans="1:10" s="77" customFormat="1" ht="12.75" x14ac:dyDescent="0.2">
      <c r="A115" s="4">
        <v>110</v>
      </c>
      <c r="B115" s="6">
        <v>44921</v>
      </c>
      <c r="C115" s="122">
        <v>44921</v>
      </c>
      <c r="D115" s="122" t="s">
        <v>139</v>
      </c>
      <c r="E115" s="123" t="s">
        <v>70</v>
      </c>
      <c r="F115" s="94">
        <f>79-1-5-6-3-3-1-5-5-4-4-1-3</f>
        <v>38</v>
      </c>
      <c r="G115" s="94" t="s">
        <v>3</v>
      </c>
      <c r="H115" s="95">
        <v>766.41</v>
      </c>
      <c r="I115" s="10">
        <f t="shared" si="3"/>
        <v>29123.579999999998</v>
      </c>
    </row>
    <row r="116" spans="1:10" s="77" customFormat="1" ht="12.75" x14ac:dyDescent="0.2">
      <c r="A116" s="4">
        <v>111</v>
      </c>
      <c r="B116" s="6">
        <v>44921</v>
      </c>
      <c r="C116" s="122">
        <v>44921</v>
      </c>
      <c r="D116" s="122" t="s">
        <v>140</v>
      </c>
      <c r="E116" s="123" t="s">
        <v>71</v>
      </c>
      <c r="F116" s="94">
        <f>79-1-5-6-3-3-1-5-5-4-4-1-3</f>
        <v>38</v>
      </c>
      <c r="G116" s="94" t="s">
        <v>3</v>
      </c>
      <c r="H116" s="95">
        <v>766.41</v>
      </c>
      <c r="I116" s="10">
        <f t="shared" si="3"/>
        <v>29123.579999999998</v>
      </c>
    </row>
    <row r="117" spans="1:10" s="77" customFormat="1" ht="12.75" x14ac:dyDescent="0.2">
      <c r="A117" s="4">
        <v>112</v>
      </c>
      <c r="B117" s="122">
        <v>44921</v>
      </c>
      <c r="C117" s="122">
        <v>44921</v>
      </c>
      <c r="D117" s="122" t="s">
        <v>141</v>
      </c>
      <c r="E117" s="123" t="s">
        <v>72</v>
      </c>
      <c r="F117" s="94">
        <f>79-1-5-6-3-3-1-5-5-4-4-1-3</f>
        <v>38</v>
      </c>
      <c r="G117" s="94" t="s">
        <v>3</v>
      </c>
      <c r="H117" s="95">
        <v>766.41</v>
      </c>
      <c r="I117" s="10">
        <f t="shared" si="3"/>
        <v>29123.579999999998</v>
      </c>
    </row>
    <row r="118" spans="1:10" s="77" customFormat="1" ht="12.75" x14ac:dyDescent="0.2">
      <c r="A118" s="4">
        <v>113</v>
      </c>
      <c r="B118" s="6">
        <v>44187</v>
      </c>
      <c r="C118" s="122">
        <v>44187</v>
      </c>
      <c r="D118" s="122" t="s">
        <v>142</v>
      </c>
      <c r="E118" s="123" t="s">
        <v>73</v>
      </c>
      <c r="F118" s="94">
        <f>25-2-1-1-1-2-1-1</f>
        <v>16</v>
      </c>
      <c r="G118" s="94" t="s">
        <v>3</v>
      </c>
      <c r="H118" s="95">
        <v>607.70000000000005</v>
      </c>
      <c r="I118" s="10">
        <f t="shared" si="3"/>
        <v>9723.2000000000007</v>
      </c>
    </row>
    <row r="119" spans="1:10" s="5" customFormat="1" ht="12.75" x14ac:dyDescent="0.2">
      <c r="A119" s="4">
        <v>114</v>
      </c>
      <c r="B119" s="6">
        <v>44533</v>
      </c>
      <c r="C119" s="122">
        <v>44533</v>
      </c>
      <c r="D119" s="122" t="s">
        <v>142</v>
      </c>
      <c r="E119" s="123" t="s">
        <v>73</v>
      </c>
      <c r="F119" s="94">
        <v>24</v>
      </c>
      <c r="G119" s="94" t="s">
        <v>3</v>
      </c>
      <c r="H119" s="95">
        <v>572.29999999999995</v>
      </c>
      <c r="I119" s="10">
        <f t="shared" si="3"/>
        <v>13735.199999999999</v>
      </c>
    </row>
    <row r="120" spans="1:10" s="5" customFormat="1" ht="12.75" x14ac:dyDescent="0.2">
      <c r="A120" s="4">
        <v>115</v>
      </c>
      <c r="B120" s="6">
        <v>44707</v>
      </c>
      <c r="C120" s="122">
        <v>44707</v>
      </c>
      <c r="D120" s="122" t="s">
        <v>142</v>
      </c>
      <c r="E120" s="123" t="s">
        <v>73</v>
      </c>
      <c r="F120" s="94">
        <v>20</v>
      </c>
      <c r="G120" s="94" t="s">
        <v>3</v>
      </c>
      <c r="H120" s="95">
        <v>601.79999999999995</v>
      </c>
      <c r="I120" s="10">
        <f t="shared" si="3"/>
        <v>12036</v>
      </c>
    </row>
    <row r="121" spans="1:10" s="77" customFormat="1" ht="12.75" x14ac:dyDescent="0.2">
      <c r="A121" s="4">
        <v>116</v>
      </c>
      <c r="B121" s="6">
        <v>44187</v>
      </c>
      <c r="C121" s="122">
        <v>44187</v>
      </c>
      <c r="D121" s="122" t="s">
        <v>143</v>
      </c>
      <c r="E121" s="123" t="s">
        <v>74</v>
      </c>
      <c r="F121" s="94">
        <f>15-1-1-2-1-1</f>
        <v>9</v>
      </c>
      <c r="G121" s="94" t="s">
        <v>3</v>
      </c>
      <c r="H121" s="95">
        <v>607.70000000000005</v>
      </c>
      <c r="I121" s="10">
        <f t="shared" si="3"/>
        <v>5469.3</v>
      </c>
    </row>
    <row r="122" spans="1:10" s="5" customFormat="1" ht="12.75" x14ac:dyDescent="0.2">
      <c r="A122" s="4">
        <v>117</v>
      </c>
      <c r="B122" s="6">
        <v>44533</v>
      </c>
      <c r="C122" s="122">
        <v>44533</v>
      </c>
      <c r="D122" s="122" t="s">
        <v>143</v>
      </c>
      <c r="E122" s="123" t="s">
        <v>74</v>
      </c>
      <c r="F122" s="94">
        <v>16</v>
      </c>
      <c r="G122" s="94" t="s">
        <v>3</v>
      </c>
      <c r="H122" s="95">
        <v>572.29999999999995</v>
      </c>
      <c r="I122" s="10">
        <f t="shared" si="3"/>
        <v>9156.7999999999993</v>
      </c>
    </row>
    <row r="123" spans="1:10" s="5" customFormat="1" ht="12.75" x14ac:dyDescent="0.2">
      <c r="A123" s="4">
        <v>118</v>
      </c>
      <c r="B123" s="6">
        <v>44707</v>
      </c>
      <c r="C123" s="122">
        <v>44707</v>
      </c>
      <c r="D123" s="122" t="s">
        <v>143</v>
      </c>
      <c r="E123" s="123" t="s">
        <v>74</v>
      </c>
      <c r="F123" s="94">
        <v>20</v>
      </c>
      <c r="G123" s="94" t="s">
        <v>3</v>
      </c>
      <c r="H123" s="95">
        <v>601.79999999999995</v>
      </c>
      <c r="I123" s="10">
        <f t="shared" si="3"/>
        <v>12036</v>
      </c>
    </row>
    <row r="124" spans="1:10" s="77" customFormat="1" ht="12.75" x14ac:dyDescent="0.2">
      <c r="A124" s="4">
        <v>119</v>
      </c>
      <c r="B124" s="6">
        <v>44187</v>
      </c>
      <c r="C124" s="122">
        <v>44187</v>
      </c>
      <c r="D124" s="122" t="s">
        <v>144</v>
      </c>
      <c r="E124" s="123" t="s">
        <v>76</v>
      </c>
      <c r="F124" s="94">
        <f>15-1-1-2-1-1</f>
        <v>9</v>
      </c>
      <c r="G124" s="94" t="s">
        <v>3</v>
      </c>
      <c r="H124" s="95">
        <v>607.70000000000005</v>
      </c>
      <c r="I124" s="10">
        <f t="shared" si="3"/>
        <v>5469.3</v>
      </c>
    </row>
    <row r="125" spans="1:10" s="5" customFormat="1" ht="12.75" x14ac:dyDescent="0.2">
      <c r="A125" s="4">
        <v>120</v>
      </c>
      <c r="B125" s="6">
        <v>44533</v>
      </c>
      <c r="C125" s="122">
        <v>44533</v>
      </c>
      <c r="D125" s="122" t="s">
        <v>144</v>
      </c>
      <c r="E125" s="123" t="s">
        <v>76</v>
      </c>
      <c r="F125" s="94">
        <v>16</v>
      </c>
      <c r="G125" s="94" t="s">
        <v>3</v>
      </c>
      <c r="H125" s="95">
        <v>572.29999999999995</v>
      </c>
      <c r="I125" s="10">
        <f t="shared" si="3"/>
        <v>9156.7999999999993</v>
      </c>
    </row>
    <row r="126" spans="1:10" s="5" customFormat="1" ht="12.75" x14ac:dyDescent="0.2">
      <c r="A126" s="4">
        <v>121</v>
      </c>
      <c r="B126" s="6">
        <v>44707</v>
      </c>
      <c r="C126" s="122">
        <v>44707</v>
      </c>
      <c r="D126" s="122" t="s">
        <v>144</v>
      </c>
      <c r="E126" s="123" t="s">
        <v>76</v>
      </c>
      <c r="F126" s="94">
        <v>20</v>
      </c>
      <c r="G126" s="94" t="s">
        <v>3</v>
      </c>
      <c r="H126" s="95">
        <v>601.79999999999995</v>
      </c>
      <c r="I126" s="10">
        <f t="shared" si="3"/>
        <v>12036</v>
      </c>
    </row>
    <row r="127" spans="1:10" s="77" customFormat="1" ht="12.75" x14ac:dyDescent="0.2">
      <c r="A127" s="4">
        <v>122</v>
      </c>
      <c r="B127" s="6">
        <v>44187</v>
      </c>
      <c r="C127" s="122">
        <v>44187</v>
      </c>
      <c r="D127" s="122" t="s">
        <v>145</v>
      </c>
      <c r="E127" s="123" t="s">
        <v>75</v>
      </c>
      <c r="F127" s="94">
        <f>15-1-1-2-1-1</f>
        <v>9</v>
      </c>
      <c r="G127" s="94" t="s">
        <v>3</v>
      </c>
      <c r="H127" s="95">
        <v>607.70000000000005</v>
      </c>
      <c r="I127" s="10">
        <f t="shared" si="3"/>
        <v>5469.3</v>
      </c>
      <c r="J127" s="85"/>
    </row>
    <row r="128" spans="1:10" s="5" customFormat="1" ht="12.75" x14ac:dyDescent="0.2">
      <c r="A128" s="4">
        <v>123</v>
      </c>
      <c r="B128" s="6">
        <v>44533</v>
      </c>
      <c r="C128" s="122">
        <v>44533</v>
      </c>
      <c r="D128" s="122" t="s">
        <v>145</v>
      </c>
      <c r="E128" s="123" t="s">
        <v>75</v>
      </c>
      <c r="F128" s="94">
        <v>16</v>
      </c>
      <c r="G128" s="94" t="s">
        <v>3</v>
      </c>
      <c r="H128" s="95">
        <v>572.29999999999995</v>
      </c>
      <c r="I128" s="10">
        <f t="shared" si="3"/>
        <v>9156.7999999999993</v>
      </c>
      <c r="J128" s="86"/>
    </row>
    <row r="129" spans="1:10" s="5" customFormat="1" ht="12.75" x14ac:dyDescent="0.2">
      <c r="A129" s="4">
        <v>124</v>
      </c>
      <c r="B129" s="6">
        <v>44707</v>
      </c>
      <c r="C129" s="122">
        <v>44707</v>
      </c>
      <c r="D129" s="122" t="s">
        <v>145</v>
      </c>
      <c r="E129" s="123" t="s">
        <v>75</v>
      </c>
      <c r="F129" s="94">
        <v>20</v>
      </c>
      <c r="G129" s="94" t="s">
        <v>3</v>
      </c>
      <c r="H129" s="95">
        <v>601.79999999999995</v>
      </c>
      <c r="I129" s="10">
        <f t="shared" si="3"/>
        <v>12036</v>
      </c>
      <c r="J129" s="86"/>
    </row>
    <row r="130" spans="1:10" s="77" customFormat="1" ht="12.75" x14ac:dyDescent="0.2">
      <c r="A130" s="4">
        <v>125</v>
      </c>
      <c r="B130" s="6">
        <v>44533</v>
      </c>
      <c r="C130" s="122">
        <v>44533</v>
      </c>
      <c r="D130" s="91" t="s">
        <v>167</v>
      </c>
      <c r="E130" s="123" t="s">
        <v>166</v>
      </c>
      <c r="F130" s="94">
        <f>50-3-2-1-2-1-3-3-1-1-1-1-4-1-1-2-2-1-1</f>
        <v>19</v>
      </c>
      <c r="G130" s="94" t="s">
        <v>3</v>
      </c>
      <c r="H130" s="95">
        <v>1109.2</v>
      </c>
      <c r="I130" s="10">
        <f t="shared" si="3"/>
        <v>21074.799999999999</v>
      </c>
      <c r="J130" s="89"/>
    </row>
    <row r="131" spans="1:10" s="5" customFormat="1" ht="12.75" x14ac:dyDescent="0.2">
      <c r="A131" s="4">
        <v>126</v>
      </c>
      <c r="B131" s="6">
        <v>44707</v>
      </c>
      <c r="C131" s="122">
        <v>44707</v>
      </c>
      <c r="D131" s="91" t="s">
        <v>167</v>
      </c>
      <c r="E131" s="123" t="s">
        <v>166</v>
      </c>
      <c r="F131" s="94">
        <v>40</v>
      </c>
      <c r="G131" s="94" t="s">
        <v>3</v>
      </c>
      <c r="H131" s="95">
        <v>540.44000000000005</v>
      </c>
      <c r="I131" s="10">
        <f t="shared" si="3"/>
        <v>21617.600000000002</v>
      </c>
      <c r="J131" s="86"/>
    </row>
    <row r="132" spans="1:10" s="5" customFormat="1" ht="12.75" x14ac:dyDescent="0.2">
      <c r="A132" s="4">
        <v>127</v>
      </c>
      <c r="B132" s="6">
        <v>44921</v>
      </c>
      <c r="C132" s="122">
        <v>44921</v>
      </c>
      <c r="D132" s="91" t="s">
        <v>167</v>
      </c>
      <c r="E132" s="123" t="s">
        <v>166</v>
      </c>
      <c r="F132" s="94">
        <v>50</v>
      </c>
      <c r="G132" s="94" t="s">
        <v>3</v>
      </c>
      <c r="H132" s="95">
        <v>743.4</v>
      </c>
      <c r="I132" s="10">
        <f t="shared" si="3"/>
        <v>37170</v>
      </c>
      <c r="J132" s="86"/>
    </row>
    <row r="133" spans="1:10" s="77" customFormat="1" ht="12.75" x14ac:dyDescent="0.2">
      <c r="A133" s="4">
        <v>128</v>
      </c>
      <c r="B133" s="6">
        <v>44533</v>
      </c>
      <c r="C133" s="122">
        <v>44533</v>
      </c>
      <c r="D133" s="91" t="s">
        <v>168</v>
      </c>
      <c r="E133" s="123" t="s">
        <v>171</v>
      </c>
      <c r="F133" s="94">
        <f>25-1-1-1-2-3-1-1-1-1-1-1-2-1-1</f>
        <v>7</v>
      </c>
      <c r="G133" s="94" t="s">
        <v>3</v>
      </c>
      <c r="H133" s="95">
        <v>1433.7</v>
      </c>
      <c r="I133" s="10">
        <f t="shared" si="3"/>
        <v>10035.9</v>
      </c>
      <c r="J133" s="89"/>
    </row>
    <row r="134" spans="1:10" s="5" customFormat="1" ht="12.75" x14ac:dyDescent="0.2">
      <c r="A134" s="4">
        <v>129</v>
      </c>
      <c r="B134" s="6">
        <v>44707</v>
      </c>
      <c r="C134" s="122">
        <v>44707</v>
      </c>
      <c r="D134" s="91" t="s">
        <v>168</v>
      </c>
      <c r="E134" s="123" t="s">
        <v>171</v>
      </c>
      <c r="F134" s="94">
        <v>20</v>
      </c>
      <c r="G134" s="94" t="s">
        <v>3</v>
      </c>
      <c r="H134" s="95">
        <v>469.64</v>
      </c>
      <c r="I134" s="10">
        <f t="shared" si="3"/>
        <v>9392.7999999999993</v>
      </c>
      <c r="J134" s="86"/>
    </row>
    <row r="135" spans="1:10" s="5" customFormat="1" ht="12.75" x14ac:dyDescent="0.2">
      <c r="A135" s="4">
        <v>130</v>
      </c>
      <c r="B135" s="6">
        <v>44921</v>
      </c>
      <c r="C135" s="122">
        <v>44921</v>
      </c>
      <c r="D135" s="91" t="s">
        <v>168</v>
      </c>
      <c r="E135" s="123" t="s">
        <v>171</v>
      </c>
      <c r="F135" s="94">
        <v>25</v>
      </c>
      <c r="G135" s="94" t="s">
        <v>3</v>
      </c>
      <c r="H135" s="95">
        <v>743.4</v>
      </c>
      <c r="I135" s="10">
        <f t="shared" si="3"/>
        <v>18585</v>
      </c>
      <c r="J135" s="86"/>
    </row>
    <row r="136" spans="1:10" s="77" customFormat="1" ht="12.75" x14ac:dyDescent="0.2">
      <c r="A136" s="4">
        <v>131</v>
      </c>
      <c r="B136" s="6">
        <v>44533</v>
      </c>
      <c r="C136" s="122">
        <v>44533</v>
      </c>
      <c r="D136" s="91" t="s">
        <v>169</v>
      </c>
      <c r="E136" s="123" t="s">
        <v>173</v>
      </c>
      <c r="F136" s="94">
        <f>25-1-1-1-2-3-1-1-1-1-1-1-2-1-1</f>
        <v>7</v>
      </c>
      <c r="G136" s="94" t="s">
        <v>3</v>
      </c>
      <c r="H136" s="95">
        <v>1109.2</v>
      </c>
      <c r="I136" s="10">
        <f t="shared" si="3"/>
        <v>7764.4000000000005</v>
      </c>
      <c r="J136" s="89"/>
    </row>
    <row r="137" spans="1:10" s="5" customFormat="1" ht="12.75" x14ac:dyDescent="0.2">
      <c r="A137" s="4">
        <v>132</v>
      </c>
      <c r="B137" s="6">
        <v>44707</v>
      </c>
      <c r="C137" s="122">
        <v>44707</v>
      </c>
      <c r="D137" s="91" t="s">
        <v>169</v>
      </c>
      <c r="E137" s="123" t="s">
        <v>173</v>
      </c>
      <c r="F137" s="94">
        <v>20</v>
      </c>
      <c r="G137" s="94" t="s">
        <v>3</v>
      </c>
      <c r="H137" s="95">
        <v>469.64</v>
      </c>
      <c r="I137" s="10">
        <f t="shared" si="3"/>
        <v>9392.7999999999993</v>
      </c>
      <c r="J137" s="86"/>
    </row>
    <row r="138" spans="1:10" s="5" customFormat="1" ht="12.75" x14ac:dyDescent="0.2">
      <c r="A138" s="4">
        <v>133</v>
      </c>
      <c r="B138" s="6">
        <v>44921</v>
      </c>
      <c r="C138" s="122">
        <v>44921</v>
      </c>
      <c r="D138" s="91" t="s">
        <v>169</v>
      </c>
      <c r="E138" s="123" t="s">
        <v>173</v>
      </c>
      <c r="F138" s="94">
        <v>25</v>
      </c>
      <c r="G138" s="94" t="s">
        <v>3</v>
      </c>
      <c r="H138" s="95">
        <v>743.4</v>
      </c>
      <c r="I138" s="10">
        <f t="shared" si="3"/>
        <v>18585</v>
      </c>
      <c r="J138" s="87"/>
    </row>
    <row r="139" spans="1:10" s="77" customFormat="1" ht="12.75" x14ac:dyDescent="0.2">
      <c r="A139" s="4">
        <v>134</v>
      </c>
      <c r="B139" s="6">
        <v>44533</v>
      </c>
      <c r="C139" s="122">
        <v>44533</v>
      </c>
      <c r="D139" s="91" t="s">
        <v>170</v>
      </c>
      <c r="E139" s="123" t="s">
        <v>172</v>
      </c>
      <c r="F139" s="94">
        <f>25-1-1-1-2-3-1-1-1-1-1-1-2-1-1</f>
        <v>7</v>
      </c>
      <c r="G139" s="94" t="s">
        <v>3</v>
      </c>
      <c r="H139" s="95">
        <v>1109.2</v>
      </c>
      <c r="I139" s="10">
        <f t="shared" si="3"/>
        <v>7764.4000000000005</v>
      </c>
      <c r="J139" s="85"/>
    </row>
    <row r="140" spans="1:10" s="5" customFormat="1" ht="12.75" x14ac:dyDescent="0.2">
      <c r="A140" s="4">
        <v>135</v>
      </c>
      <c r="B140" s="6">
        <v>44707</v>
      </c>
      <c r="C140" s="122">
        <v>44707</v>
      </c>
      <c r="D140" s="91" t="s">
        <v>170</v>
      </c>
      <c r="E140" s="123" t="s">
        <v>172</v>
      </c>
      <c r="F140" s="94">
        <v>20</v>
      </c>
      <c r="G140" s="94" t="s">
        <v>3</v>
      </c>
      <c r="H140" s="95">
        <v>469.64</v>
      </c>
      <c r="I140" s="10">
        <f t="shared" si="3"/>
        <v>9392.7999999999993</v>
      </c>
    </row>
    <row r="141" spans="1:10" x14ac:dyDescent="0.25">
      <c r="A141" s="4">
        <v>136</v>
      </c>
      <c r="B141" s="6">
        <v>44921</v>
      </c>
      <c r="C141" s="122">
        <v>44921</v>
      </c>
      <c r="D141" s="91" t="s">
        <v>170</v>
      </c>
      <c r="E141" s="123" t="s">
        <v>172</v>
      </c>
      <c r="F141" s="94">
        <v>25</v>
      </c>
      <c r="G141" s="94" t="s">
        <v>3</v>
      </c>
      <c r="H141" s="95">
        <v>743.4</v>
      </c>
      <c r="I141" s="10">
        <f>F141*H141</f>
        <v>18585</v>
      </c>
    </row>
    <row r="142" spans="1:10" s="5" customFormat="1" ht="12.75" x14ac:dyDescent="0.2">
      <c r="A142" s="4">
        <v>137</v>
      </c>
      <c r="B142" s="122">
        <v>44903</v>
      </c>
      <c r="C142" s="122">
        <v>44903</v>
      </c>
      <c r="D142" s="91" t="s">
        <v>119</v>
      </c>
      <c r="E142" s="123" t="s">
        <v>227</v>
      </c>
      <c r="F142" s="94">
        <f>700-3-22-51-21-12-38-26-4-59-16-20-22-13-67</f>
        <v>326</v>
      </c>
      <c r="G142" s="94" t="s">
        <v>14</v>
      </c>
      <c r="H142" s="95">
        <v>920.4</v>
      </c>
      <c r="I142" s="131">
        <f t="shared" ref="I142:I148" si="4">+F142*H142</f>
        <v>300050.39999999997</v>
      </c>
    </row>
    <row r="143" spans="1:10" s="16" customFormat="1" x14ac:dyDescent="0.25">
      <c r="A143" s="4">
        <v>138</v>
      </c>
      <c r="B143" s="122">
        <v>44903</v>
      </c>
      <c r="C143" s="122">
        <v>44903</v>
      </c>
      <c r="D143" s="91" t="s">
        <v>120</v>
      </c>
      <c r="E143" s="123" t="s">
        <v>23</v>
      </c>
      <c r="F143" s="94">
        <f>850-117-39-10-49-12-66-31-8-29-47-70-72-172-86</f>
        <v>42</v>
      </c>
      <c r="G143" s="94" t="s">
        <v>14</v>
      </c>
      <c r="H143" s="95">
        <v>682.66176470588198</v>
      </c>
      <c r="I143" s="131">
        <f t="shared" si="4"/>
        <v>28671.794117647041</v>
      </c>
      <c r="J143" s="31"/>
    </row>
    <row r="144" spans="1:10" s="16" customFormat="1" x14ac:dyDescent="0.25">
      <c r="A144" s="4">
        <v>139</v>
      </c>
      <c r="B144" s="122">
        <v>45268</v>
      </c>
      <c r="C144" s="122">
        <v>45268</v>
      </c>
      <c r="D144" s="91" t="s">
        <v>119</v>
      </c>
      <c r="E144" s="123" t="s">
        <v>227</v>
      </c>
      <c r="F144" s="94">
        <f>42</f>
        <v>42</v>
      </c>
      <c r="G144" s="94" t="s">
        <v>310</v>
      </c>
      <c r="H144" s="126">
        <v>9882.5</v>
      </c>
      <c r="I144" s="131">
        <f t="shared" si="4"/>
        <v>415065</v>
      </c>
      <c r="J144" s="31"/>
    </row>
    <row r="145" spans="1:10" s="16" customFormat="1" x14ac:dyDescent="0.25">
      <c r="A145" s="4">
        <v>140</v>
      </c>
      <c r="B145" s="122">
        <v>45268</v>
      </c>
      <c r="C145" s="122">
        <v>45268</v>
      </c>
      <c r="D145" s="91" t="s">
        <v>120</v>
      </c>
      <c r="E145" s="123" t="s">
        <v>23</v>
      </c>
      <c r="F145" s="94">
        <v>20</v>
      </c>
      <c r="G145" s="94" t="s">
        <v>310</v>
      </c>
      <c r="H145" s="126">
        <v>12223.03</v>
      </c>
      <c r="I145" s="131">
        <f t="shared" si="4"/>
        <v>244460.6</v>
      </c>
      <c r="J145" s="31"/>
    </row>
    <row r="146" spans="1:10" s="16" customFormat="1" x14ac:dyDescent="0.25">
      <c r="A146" s="4">
        <v>141</v>
      </c>
      <c r="B146" s="122">
        <v>45287</v>
      </c>
      <c r="C146" s="122">
        <v>45287</v>
      </c>
      <c r="D146" s="91" t="s">
        <v>119</v>
      </c>
      <c r="E146" s="123" t="s">
        <v>227</v>
      </c>
      <c r="F146" s="94">
        <f>45</f>
        <v>45</v>
      </c>
      <c r="G146" s="94" t="s">
        <v>310</v>
      </c>
      <c r="H146" s="126">
        <v>9882.5</v>
      </c>
      <c r="I146" s="131">
        <f t="shared" si="4"/>
        <v>444712.5</v>
      </c>
      <c r="J146" s="31"/>
    </row>
    <row r="147" spans="1:10" x14ac:dyDescent="0.25">
      <c r="A147" s="4">
        <v>142</v>
      </c>
      <c r="B147" s="6">
        <v>45287</v>
      </c>
      <c r="C147" s="6">
        <v>45287</v>
      </c>
      <c r="D147" s="23" t="s">
        <v>120</v>
      </c>
      <c r="E147" s="7" t="s">
        <v>23</v>
      </c>
      <c r="F147" s="4">
        <v>30</v>
      </c>
      <c r="G147" s="4" t="s">
        <v>310</v>
      </c>
      <c r="H147" s="15">
        <v>12223.03</v>
      </c>
      <c r="I147" s="10">
        <f t="shared" si="4"/>
        <v>366690.9</v>
      </c>
    </row>
    <row r="148" spans="1:10" x14ac:dyDescent="0.25">
      <c r="A148" s="4">
        <v>143</v>
      </c>
      <c r="B148" s="6">
        <v>45287</v>
      </c>
      <c r="C148" s="6">
        <v>45287</v>
      </c>
      <c r="D148" s="23" t="s">
        <v>312</v>
      </c>
      <c r="E148" s="7" t="s">
        <v>313</v>
      </c>
      <c r="F148" s="4">
        <v>16</v>
      </c>
      <c r="G148" s="4" t="s">
        <v>14</v>
      </c>
      <c r="H148" s="15">
        <v>2448.5</v>
      </c>
      <c r="I148" s="10">
        <f t="shared" si="4"/>
        <v>39176</v>
      </c>
    </row>
    <row r="149" spans="1:10" x14ac:dyDescent="0.25">
      <c r="A149" s="16"/>
      <c r="B149" s="16"/>
      <c r="C149" s="16"/>
      <c r="D149" s="16"/>
      <c r="E149" s="16"/>
      <c r="F149" s="16"/>
      <c r="G149" s="16"/>
      <c r="H149" s="24" t="s">
        <v>17</v>
      </c>
      <c r="I149" s="47">
        <f>SUM(I8:I148)</f>
        <v>7110514.6253068196</v>
      </c>
    </row>
    <row r="150" spans="1:10" s="1" customFormat="1" ht="12" customHeight="1" x14ac:dyDescent="0.25">
      <c r="A150" s="16"/>
      <c r="B150" s="16"/>
      <c r="C150" s="16"/>
      <c r="D150" s="16"/>
      <c r="E150" s="16"/>
      <c r="F150" s="16"/>
      <c r="G150" s="16"/>
      <c r="H150" s="63"/>
      <c r="I150" s="64"/>
    </row>
    <row r="151" spans="1:10" s="1" customFormat="1" hidden="1" x14ac:dyDescent="0.25">
      <c r="A151" s="16"/>
      <c r="B151" s="16"/>
      <c r="C151" s="16"/>
      <c r="D151" s="16"/>
      <c r="E151" s="16"/>
      <c r="F151" s="16"/>
      <c r="G151" s="16"/>
      <c r="H151" s="63"/>
      <c r="I151" s="64"/>
    </row>
    <row r="152" spans="1:10" s="1" customFormat="1" hidden="1" x14ac:dyDescent="0.25">
      <c r="A152" s="16"/>
      <c r="B152" s="16"/>
      <c r="C152" s="16"/>
      <c r="D152" s="16"/>
      <c r="E152" s="16"/>
      <c r="F152" s="16"/>
      <c r="G152" s="16"/>
      <c r="H152" s="63"/>
      <c r="I152" s="64"/>
    </row>
    <row r="153" spans="1:10" s="1" customFormat="1" ht="27.75" customHeight="1" x14ac:dyDescent="0.25">
      <c r="A153" s="162" t="s">
        <v>248</v>
      </c>
      <c r="B153" s="162"/>
      <c r="C153" s="162"/>
      <c r="D153" s="162"/>
      <c r="E153" s="162"/>
      <c r="F153" s="162"/>
      <c r="G153" s="162"/>
      <c r="H153" s="162"/>
      <c r="I153" s="162"/>
    </row>
    <row r="154" spans="1:10" ht="15.75" x14ac:dyDescent="0.25">
      <c r="A154" s="156" t="s">
        <v>317</v>
      </c>
      <c r="B154" s="156"/>
      <c r="C154" s="156"/>
      <c r="D154" s="156"/>
      <c r="E154" s="156"/>
      <c r="F154" s="156"/>
      <c r="G154" s="156"/>
      <c r="H154" s="156"/>
      <c r="I154" s="156"/>
    </row>
    <row r="155" spans="1:10" ht="15.75" x14ac:dyDescent="0.25">
      <c r="A155" s="157" t="s">
        <v>318</v>
      </c>
      <c r="B155" s="157"/>
      <c r="C155" s="157"/>
      <c r="D155" s="157"/>
      <c r="E155" s="157"/>
      <c r="F155" s="157"/>
      <c r="G155" s="157"/>
      <c r="H155" s="157"/>
      <c r="I155" s="157"/>
    </row>
    <row r="156" spans="1:10" ht="15.75" x14ac:dyDescent="0.25">
      <c r="A156" s="157" t="s">
        <v>249</v>
      </c>
      <c r="B156" s="157"/>
      <c r="C156" s="157"/>
      <c r="D156" s="157"/>
      <c r="E156" s="157"/>
      <c r="F156" s="157"/>
      <c r="G156" s="157"/>
      <c r="H156" s="157"/>
      <c r="I156" s="157"/>
    </row>
    <row r="157" spans="1:10" x14ac:dyDescent="0.25">
      <c r="A157" s="115"/>
      <c r="B157" s="158"/>
      <c r="C157" s="158"/>
      <c r="D157" s="158"/>
      <c r="E157" s="159"/>
      <c r="F157" s="159"/>
      <c r="G157" s="65"/>
      <c r="H157" s="161"/>
      <c r="I157" s="161"/>
    </row>
    <row r="158" spans="1:10" s="77" customFormat="1" ht="12.75" x14ac:dyDescent="0.2">
      <c r="A158" s="115"/>
      <c r="B158" s="160"/>
      <c r="C158" s="160"/>
      <c r="D158" s="160"/>
      <c r="E158" s="160"/>
      <c r="F158" s="160"/>
      <c r="G158" s="66"/>
      <c r="H158" s="67"/>
      <c r="I158" s="66"/>
    </row>
    <row r="159" spans="1:10" s="77" customFormat="1" x14ac:dyDescent="0.25">
      <c r="A159" s="62"/>
      <c r="B159" s="62"/>
      <c r="C159" s="62"/>
      <c r="D159" s="62"/>
      <c r="E159" s="62"/>
      <c r="F159" s="62"/>
      <c r="G159" s="62"/>
      <c r="H159" s="62"/>
      <c r="I159" s="62"/>
    </row>
    <row r="160" spans="1:10" s="49" customFormat="1" x14ac:dyDescent="0.25">
      <c r="A160" s="69"/>
      <c r="B160" s="69"/>
      <c r="C160" s="69"/>
      <c r="D160" s="69"/>
      <c r="E160" s="69"/>
      <c r="F160" s="69"/>
      <c r="G160" s="69"/>
      <c r="H160" s="69"/>
      <c r="I160" s="69"/>
    </row>
    <row r="161" spans="1:9" s="49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s="53" customFormat="1" x14ac:dyDescent="0.25">
      <c r="A162" s="169"/>
      <c r="B162" s="169"/>
      <c r="C162" s="169"/>
      <c r="D162" s="169"/>
      <c r="E162" s="169"/>
      <c r="F162" s="169"/>
      <c r="G162" s="169"/>
      <c r="H162" s="169"/>
      <c r="I162" s="169"/>
    </row>
    <row r="163" spans="1:9" s="49" customFormat="1" x14ac:dyDescent="0.25">
      <c r="A163"/>
      <c r="B163"/>
      <c r="C163"/>
      <c r="D163"/>
      <c r="E163"/>
      <c r="F163"/>
      <c r="G163"/>
      <c r="H163"/>
      <c r="I163"/>
    </row>
    <row r="164" spans="1:9" s="49" customFormat="1" x14ac:dyDescent="0.25">
      <c r="A164"/>
      <c r="B164"/>
      <c r="C164"/>
      <c r="D164"/>
      <c r="E164"/>
      <c r="F164"/>
      <c r="G164"/>
      <c r="H164"/>
      <c r="I164"/>
    </row>
    <row r="165" spans="1:9" s="53" customFormat="1" ht="12.75" x14ac:dyDescent="0.2">
      <c r="A165" s="77"/>
      <c r="B165" s="77"/>
      <c r="C165" s="77"/>
      <c r="D165" s="77"/>
      <c r="E165" s="77"/>
      <c r="F165" s="77"/>
      <c r="G165" s="77"/>
      <c r="H165" s="77"/>
      <c r="I165" s="77"/>
    </row>
    <row r="166" spans="1:9" s="53" customFormat="1" ht="12.75" x14ac:dyDescent="0.2">
      <c r="A166" s="77"/>
      <c r="B166" s="77"/>
      <c r="C166" s="77"/>
      <c r="D166" s="77"/>
      <c r="E166" s="77"/>
      <c r="F166" s="77"/>
      <c r="G166" s="77"/>
      <c r="H166" s="77"/>
      <c r="I166" s="77"/>
    </row>
    <row r="167" spans="1:9" s="53" customFormat="1" x14ac:dyDescent="0.25">
      <c r="A167" s="49"/>
      <c r="B167" s="49"/>
      <c r="C167" s="49"/>
      <c r="D167" s="49"/>
      <c r="E167" s="49"/>
      <c r="F167" s="49"/>
      <c r="G167" s="49"/>
      <c r="H167" s="49"/>
      <c r="I167" s="49"/>
    </row>
    <row r="168" spans="1:9" s="53" customFormat="1" x14ac:dyDescent="0.25">
      <c r="A168" s="49"/>
      <c r="B168" s="49"/>
      <c r="C168" s="49"/>
      <c r="D168" s="49"/>
      <c r="E168" s="49"/>
      <c r="F168" s="49"/>
      <c r="G168" s="49"/>
      <c r="H168" s="49"/>
      <c r="I168" s="49"/>
    </row>
    <row r="169" spans="1:9" s="53" customFormat="1" ht="12.75" x14ac:dyDescent="0.2">
      <c r="A169" s="50"/>
      <c r="B169" s="51"/>
      <c r="C169" s="51"/>
      <c r="D169" s="52"/>
      <c r="F169" s="50"/>
      <c r="G169" s="50"/>
      <c r="H169" s="54"/>
      <c r="I169" s="55"/>
    </row>
    <row r="170" spans="1:9" s="56" customFormat="1" x14ac:dyDescent="0.25">
      <c r="A170" s="49"/>
      <c r="B170" s="49"/>
      <c r="C170" s="49"/>
      <c r="D170" s="49"/>
      <c r="E170" s="49"/>
      <c r="F170" s="49"/>
      <c r="G170" s="49"/>
      <c r="H170" s="49"/>
      <c r="I170" s="49"/>
    </row>
    <row r="171" spans="1:9" s="53" customFormat="1" x14ac:dyDescent="0.25">
      <c r="A171" s="49"/>
      <c r="B171" s="49"/>
      <c r="C171" s="49"/>
      <c r="D171" s="49"/>
      <c r="E171" s="49"/>
      <c r="F171" s="49"/>
      <c r="G171" s="49"/>
      <c r="H171" s="49"/>
      <c r="I171" s="49"/>
    </row>
    <row r="172" spans="1:9" s="53" customFormat="1" ht="12.75" x14ac:dyDescent="0.2">
      <c r="A172" s="50"/>
      <c r="B172" s="51"/>
      <c r="C172" s="51"/>
      <c r="D172" s="51"/>
      <c r="F172" s="50"/>
      <c r="G172" s="50"/>
      <c r="H172" s="54"/>
      <c r="I172" s="55"/>
    </row>
    <row r="173" spans="1:9" s="53" customFormat="1" ht="12.75" x14ac:dyDescent="0.2">
      <c r="A173" s="50"/>
      <c r="B173" s="51"/>
      <c r="C173" s="51"/>
      <c r="D173" s="51"/>
      <c r="F173" s="50"/>
      <c r="G173" s="50"/>
      <c r="H173" s="54"/>
      <c r="I173" s="55"/>
    </row>
    <row r="174" spans="1:9" s="53" customFormat="1" ht="12.75" x14ac:dyDescent="0.2">
      <c r="A174" s="50"/>
      <c r="B174" s="51"/>
      <c r="C174" s="51"/>
      <c r="D174" s="51"/>
      <c r="F174" s="50"/>
      <c r="G174" s="50"/>
      <c r="H174" s="54"/>
      <c r="I174" s="55"/>
    </row>
    <row r="175" spans="1:9" s="53" customFormat="1" ht="12.75" x14ac:dyDescent="0.2">
      <c r="A175" s="50"/>
      <c r="B175" s="51"/>
      <c r="C175" s="51"/>
      <c r="D175" s="51"/>
      <c r="F175" s="50"/>
      <c r="G175" s="50"/>
      <c r="H175" s="54"/>
      <c r="I175" s="55"/>
    </row>
    <row r="176" spans="1:9" s="53" customFormat="1" ht="12.75" x14ac:dyDescent="0.2">
      <c r="A176" s="50"/>
      <c r="B176" s="51"/>
      <c r="C176" s="51"/>
      <c r="D176" s="52"/>
      <c r="F176" s="50"/>
      <c r="G176" s="50"/>
      <c r="H176" s="54"/>
      <c r="I176" s="55"/>
    </row>
    <row r="177" spans="1:9" s="53" customFormat="1" ht="12.75" x14ac:dyDescent="0.2">
      <c r="A177" s="50"/>
      <c r="B177" s="51"/>
      <c r="C177" s="51"/>
      <c r="D177" s="52"/>
      <c r="F177" s="50"/>
      <c r="G177" s="50"/>
      <c r="H177" s="54"/>
      <c r="I177" s="55"/>
    </row>
    <row r="178" spans="1:9" s="53" customFormat="1" ht="12.75" x14ac:dyDescent="0.2">
      <c r="A178" s="50"/>
      <c r="B178" s="51"/>
      <c r="C178" s="51"/>
      <c r="D178" s="52"/>
      <c r="F178" s="50"/>
      <c r="G178" s="50"/>
      <c r="H178" s="54"/>
      <c r="I178" s="55"/>
    </row>
    <row r="179" spans="1:9" s="53" customFormat="1" ht="12.75" x14ac:dyDescent="0.2">
      <c r="A179" s="50"/>
      <c r="B179" s="51"/>
      <c r="C179" s="51"/>
      <c r="D179" s="52"/>
      <c r="F179" s="50"/>
      <c r="G179" s="50"/>
      <c r="H179" s="54"/>
      <c r="I179" s="55"/>
    </row>
    <row r="180" spans="1:9" s="53" customFormat="1" ht="12.75" x14ac:dyDescent="0.2">
      <c r="A180" s="50"/>
      <c r="B180" s="51"/>
      <c r="C180" s="51"/>
      <c r="D180" s="52"/>
      <c r="F180" s="50"/>
      <c r="G180" s="50"/>
      <c r="H180" s="54"/>
      <c r="I180" s="55"/>
    </row>
    <row r="181" spans="1:9" s="53" customFormat="1" ht="12.75" x14ac:dyDescent="0.2">
      <c r="A181" s="50"/>
      <c r="B181" s="51"/>
      <c r="C181" s="51"/>
      <c r="D181" s="52"/>
      <c r="F181" s="50"/>
      <c r="G181" s="50"/>
      <c r="H181" s="54"/>
      <c r="I181" s="55"/>
    </row>
    <row r="182" spans="1:9" s="49" customFormat="1" x14ac:dyDescent="0.25">
      <c r="A182" s="50"/>
      <c r="B182" s="51"/>
      <c r="C182" s="51"/>
      <c r="D182" s="52"/>
      <c r="E182" s="53"/>
      <c r="F182" s="50"/>
      <c r="G182" s="50"/>
      <c r="H182" s="54"/>
      <c r="I182" s="55"/>
    </row>
    <row r="183" spans="1:9" s="49" customFormat="1" x14ac:dyDescent="0.25">
      <c r="A183" s="50"/>
      <c r="B183" s="51"/>
      <c r="C183" s="51"/>
      <c r="D183" s="52"/>
      <c r="E183" s="53"/>
      <c r="F183" s="50"/>
      <c r="G183" s="50"/>
      <c r="H183" s="54"/>
      <c r="I183" s="55"/>
    </row>
    <row r="184" spans="1:9" s="49" customFormat="1" x14ac:dyDescent="0.25">
      <c r="A184" s="50"/>
      <c r="B184" s="51"/>
      <c r="C184" s="51"/>
      <c r="D184" s="52"/>
      <c r="E184" s="53"/>
      <c r="F184" s="50"/>
      <c r="G184" s="50"/>
      <c r="H184" s="54"/>
      <c r="I184" s="55"/>
    </row>
    <row r="185" spans="1:9" s="49" customFormat="1" x14ac:dyDescent="0.25">
      <c r="A185" s="50"/>
      <c r="B185" s="51"/>
      <c r="C185" s="51"/>
      <c r="D185" s="52"/>
      <c r="E185" s="53"/>
      <c r="F185" s="50"/>
      <c r="G185" s="50"/>
      <c r="H185" s="54"/>
      <c r="I185" s="55"/>
    </row>
    <row r="186" spans="1:9" s="49" customFormat="1" x14ac:dyDescent="0.25">
      <c r="A186" s="50"/>
      <c r="B186" s="51"/>
      <c r="C186" s="51"/>
      <c r="D186" s="52"/>
      <c r="E186" s="53"/>
      <c r="F186" s="50"/>
      <c r="G186" s="50"/>
      <c r="H186" s="54"/>
      <c r="I186" s="55"/>
    </row>
    <row r="187" spans="1:9" s="49" customFormat="1" x14ac:dyDescent="0.25">
      <c r="A187" s="50"/>
      <c r="B187" s="51"/>
      <c r="C187" s="51"/>
      <c r="D187" s="52"/>
      <c r="E187" s="53"/>
      <c r="F187" s="50"/>
      <c r="G187" s="50"/>
      <c r="H187" s="54"/>
      <c r="I187" s="55"/>
    </row>
    <row r="188" spans="1:9" s="49" customFormat="1" x14ac:dyDescent="0.25">
      <c r="A188" s="50"/>
      <c r="B188" s="51"/>
      <c r="C188" s="51"/>
      <c r="D188" s="52"/>
      <c r="E188" s="53"/>
      <c r="F188" s="50"/>
      <c r="G188" s="50"/>
      <c r="H188" s="54"/>
      <c r="I188" s="55"/>
    </row>
    <row r="189" spans="1:9" s="49" customFormat="1" x14ac:dyDescent="0.25">
      <c r="I189" s="57"/>
    </row>
    <row r="190" spans="1:9" s="49" customFormat="1" ht="17.25" customHeight="1" x14ac:dyDescent="0.25"/>
    <row r="191" spans="1:9" s="49" customFormat="1" ht="17.25" customHeight="1" x14ac:dyDescent="0.25"/>
    <row r="192" spans="1:9" ht="14.2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</row>
    <row r="193" spans="1:9" x14ac:dyDescent="0.25">
      <c r="A193" s="49"/>
      <c r="B193" s="49"/>
      <c r="C193" s="49"/>
      <c r="D193" s="49"/>
      <c r="E193" s="49"/>
      <c r="F193" s="49"/>
      <c r="G193" s="49"/>
      <c r="H193" s="49"/>
      <c r="I193" s="49"/>
    </row>
    <row r="194" spans="1:9" x14ac:dyDescent="0.25">
      <c r="A194" s="170"/>
      <c r="B194" s="170"/>
      <c r="C194" s="170"/>
      <c r="D194" s="170"/>
      <c r="E194" s="170"/>
      <c r="F194" s="170"/>
      <c r="G194" s="170"/>
      <c r="H194" s="170"/>
      <c r="I194" s="170"/>
    </row>
    <row r="195" spans="1:9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</row>
    <row r="196" spans="1:9" x14ac:dyDescent="0.25">
      <c r="A196" s="168"/>
      <c r="B196" s="168"/>
      <c r="C196" s="168"/>
      <c r="D196" s="168"/>
      <c r="E196" s="168"/>
      <c r="F196" s="168"/>
      <c r="G196" s="168"/>
      <c r="H196" s="168"/>
      <c r="I196" s="168"/>
    </row>
    <row r="197" spans="1:9" x14ac:dyDescent="0.25">
      <c r="A197" s="168"/>
      <c r="B197" s="168"/>
      <c r="C197" s="168"/>
      <c r="D197" s="168"/>
      <c r="E197" s="168"/>
      <c r="F197" s="168"/>
      <c r="G197" s="168"/>
      <c r="H197" s="168"/>
      <c r="I197" s="168"/>
    </row>
    <row r="198" spans="1:9" x14ac:dyDescent="0.25">
      <c r="A198" s="56"/>
      <c r="B198" s="56"/>
      <c r="C198" s="56"/>
      <c r="D198" s="56"/>
      <c r="E198" s="56"/>
      <c r="F198" s="56"/>
      <c r="G198" s="56"/>
      <c r="H198" s="56"/>
      <c r="I198" s="56"/>
    </row>
  </sheetData>
  <mergeCells count="19">
    <mergeCell ref="A153:I153"/>
    <mergeCell ref="A3:I3"/>
    <mergeCell ref="A4:I4"/>
    <mergeCell ref="A5:I5"/>
    <mergeCell ref="A6:I6"/>
    <mergeCell ref="F7:G7"/>
    <mergeCell ref="A154:I154"/>
    <mergeCell ref="A155:I155"/>
    <mergeCell ref="A156:I156"/>
    <mergeCell ref="B157:D157"/>
    <mergeCell ref="E157:F157"/>
    <mergeCell ref="H157:I157"/>
    <mergeCell ref="A197:I197"/>
    <mergeCell ref="B158:D158"/>
    <mergeCell ref="E158:F158"/>
    <mergeCell ref="A162:I162"/>
    <mergeCell ref="A194:I194"/>
    <mergeCell ref="A195:I195"/>
    <mergeCell ref="A196:I196"/>
  </mergeCells>
  <pageMargins left="0.62" right="0.68" top="0.24" bottom="1" header="0.22" footer="0.5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zoomScale="90" zoomScaleNormal="90" workbookViewId="0">
      <selection activeCell="A4" sqref="A4:I4"/>
    </sheetView>
  </sheetViews>
  <sheetFormatPr baseColWidth="10" defaultRowHeight="15" x14ac:dyDescent="0.25"/>
  <cols>
    <col min="1" max="1" width="5.5703125" style="117" customWidth="1"/>
    <col min="2" max="2" width="13" style="21" customWidth="1"/>
    <col min="3" max="3" width="11.42578125" style="22" customWidth="1"/>
    <col min="4" max="4" width="8.7109375" style="43" customWidth="1"/>
    <col min="5" max="5" width="38.5703125" customWidth="1"/>
    <col min="6" max="6" width="6.42578125" style="34" customWidth="1"/>
    <col min="7" max="7" width="5.5703125" customWidth="1"/>
    <col min="8" max="8" width="13" style="34" customWidth="1"/>
    <col min="9" max="9" width="20.7109375" customWidth="1"/>
    <col min="10" max="10" width="13.85546875" style="70" bestFit="1" customWidth="1"/>
    <col min="11" max="12" width="15" bestFit="1" customWidth="1"/>
  </cols>
  <sheetData>
    <row r="1" spans="1:11" s="16" customFormat="1" ht="64.5" customHeight="1" x14ac:dyDescent="0.25">
      <c r="A1" s="172" t="s">
        <v>160</v>
      </c>
      <c r="B1" s="172"/>
      <c r="C1" s="172"/>
      <c r="D1" s="172"/>
      <c r="E1" s="172"/>
      <c r="F1" s="172"/>
      <c r="G1" s="172"/>
      <c r="H1" s="172"/>
      <c r="I1" s="172"/>
      <c r="J1" s="8"/>
    </row>
    <row r="2" spans="1:11" s="32" customFormat="1" ht="15.75" customHeight="1" x14ac:dyDescent="0.3">
      <c r="A2" s="173" t="s">
        <v>24</v>
      </c>
      <c r="B2" s="173"/>
      <c r="C2" s="173"/>
      <c r="D2" s="173"/>
      <c r="E2" s="173"/>
      <c r="F2" s="173"/>
      <c r="G2" s="173"/>
      <c r="H2" s="173"/>
      <c r="I2" s="173"/>
      <c r="J2" s="106"/>
    </row>
    <row r="3" spans="1:11" s="16" customFormat="1" ht="13.5" customHeight="1" x14ac:dyDescent="0.25">
      <c r="A3" s="174" t="s">
        <v>82</v>
      </c>
      <c r="B3" s="174"/>
      <c r="C3" s="174"/>
      <c r="D3" s="174"/>
      <c r="E3" s="174"/>
      <c r="F3" s="174"/>
      <c r="G3" s="174"/>
      <c r="H3" s="174"/>
      <c r="I3" s="174"/>
      <c r="J3" s="8"/>
    </row>
    <row r="4" spans="1:11" s="16" customFormat="1" ht="14.25" customHeight="1" x14ac:dyDescent="0.25">
      <c r="A4" s="166" t="s">
        <v>322</v>
      </c>
      <c r="B4" s="166"/>
      <c r="C4" s="166"/>
      <c r="D4" s="166"/>
      <c r="E4" s="166"/>
      <c r="F4" s="166"/>
      <c r="G4" s="166"/>
      <c r="H4" s="166"/>
      <c r="I4" s="166"/>
      <c r="J4" s="8"/>
    </row>
    <row r="5" spans="1:11" s="16" customFormat="1" ht="48.75" customHeight="1" x14ac:dyDescent="0.25">
      <c r="A5" s="114" t="s">
        <v>77</v>
      </c>
      <c r="B5" s="139" t="s">
        <v>78</v>
      </c>
      <c r="C5" s="140" t="s">
        <v>88</v>
      </c>
      <c r="D5" s="42" t="s">
        <v>84</v>
      </c>
      <c r="E5" s="141" t="s">
        <v>1</v>
      </c>
      <c r="F5" s="179" t="s">
        <v>2</v>
      </c>
      <c r="G5" s="180"/>
      <c r="H5" s="139" t="s">
        <v>21</v>
      </c>
      <c r="I5" s="142" t="s">
        <v>16</v>
      </c>
      <c r="J5" s="8"/>
    </row>
    <row r="6" spans="1:11" s="76" customFormat="1" ht="11.25" customHeight="1" x14ac:dyDescent="0.2">
      <c r="A6" s="94">
        <v>1</v>
      </c>
      <c r="B6" s="90">
        <v>44271</v>
      </c>
      <c r="C6" s="90">
        <v>44271</v>
      </c>
      <c r="D6" s="91" t="s">
        <v>148</v>
      </c>
      <c r="E6" s="92" t="s">
        <v>174</v>
      </c>
      <c r="F6" s="93">
        <f>35-21</f>
        <v>14</v>
      </c>
      <c r="G6" s="94" t="s">
        <v>3</v>
      </c>
      <c r="H6" s="143">
        <v>28143</v>
      </c>
      <c r="I6" s="96">
        <f t="shared" ref="I6:I38" si="0">F6*H6</f>
        <v>394002</v>
      </c>
      <c r="J6" s="77"/>
    </row>
    <row r="7" spans="1:11" s="76" customFormat="1" ht="11.25" customHeight="1" x14ac:dyDescent="0.2">
      <c r="A7" s="94">
        <v>2</v>
      </c>
      <c r="B7" s="90">
        <v>45201</v>
      </c>
      <c r="C7" s="90">
        <v>45201</v>
      </c>
      <c r="D7" s="91" t="s">
        <v>298</v>
      </c>
      <c r="E7" s="92" t="s">
        <v>288</v>
      </c>
      <c r="F7" s="93">
        <f>250-16</f>
        <v>234</v>
      </c>
      <c r="G7" s="94" t="s">
        <v>3</v>
      </c>
      <c r="H7" s="143">
        <v>2483.9</v>
      </c>
      <c r="I7" s="96">
        <f t="shared" si="0"/>
        <v>581232.6</v>
      </c>
      <c r="J7" s="77"/>
    </row>
    <row r="8" spans="1:11" s="77" customFormat="1" ht="11.25" customHeight="1" x14ac:dyDescent="0.2">
      <c r="A8" s="94">
        <v>3</v>
      </c>
      <c r="B8" s="90">
        <v>44557</v>
      </c>
      <c r="C8" s="90">
        <v>44557</v>
      </c>
      <c r="D8" s="91" t="s">
        <v>147</v>
      </c>
      <c r="E8" s="92" t="s">
        <v>177</v>
      </c>
      <c r="F8" s="93">
        <f>17-2-7-2-4</f>
        <v>2</v>
      </c>
      <c r="G8" s="94" t="s">
        <v>3</v>
      </c>
      <c r="H8" s="95">
        <v>5428</v>
      </c>
      <c r="I8" s="96">
        <f t="shared" si="0"/>
        <v>10856</v>
      </c>
    </row>
    <row r="9" spans="1:11" s="77" customFormat="1" ht="11.25" customHeight="1" x14ac:dyDescent="0.2">
      <c r="A9" s="94">
        <v>4</v>
      </c>
      <c r="B9" s="90">
        <v>44824</v>
      </c>
      <c r="C9" s="90">
        <v>44824</v>
      </c>
      <c r="D9" s="91" t="s">
        <v>224</v>
      </c>
      <c r="E9" s="92" t="s">
        <v>223</v>
      </c>
      <c r="F9" s="93">
        <f>93-1-2-2-6-2-3-11-1-5-7-3-8-5-10</f>
        <v>27</v>
      </c>
      <c r="G9" s="94" t="s">
        <v>3</v>
      </c>
      <c r="H9" s="95">
        <v>1770</v>
      </c>
      <c r="I9" s="96">
        <f t="shared" si="0"/>
        <v>47790</v>
      </c>
    </row>
    <row r="10" spans="1:11" s="112" customFormat="1" ht="11.25" customHeight="1" x14ac:dyDescent="0.2">
      <c r="A10" s="94">
        <v>5</v>
      </c>
      <c r="B10" s="90">
        <v>45287</v>
      </c>
      <c r="C10" s="90">
        <v>45288</v>
      </c>
      <c r="D10" s="91" t="s">
        <v>147</v>
      </c>
      <c r="E10" s="92" t="s">
        <v>223</v>
      </c>
      <c r="F10" s="93">
        <v>32</v>
      </c>
      <c r="G10" s="94" t="s">
        <v>3</v>
      </c>
      <c r="H10" s="95">
        <v>1770</v>
      </c>
      <c r="I10" s="96">
        <f t="shared" si="0"/>
        <v>56640</v>
      </c>
    </row>
    <row r="11" spans="1:11" s="77" customFormat="1" ht="11.25" customHeight="1" x14ac:dyDescent="0.2">
      <c r="A11" s="94">
        <v>6</v>
      </c>
      <c r="B11" s="90">
        <v>45188</v>
      </c>
      <c r="C11" s="90">
        <v>45188</v>
      </c>
      <c r="D11" s="91" t="s">
        <v>283</v>
      </c>
      <c r="E11" s="92" t="s">
        <v>274</v>
      </c>
      <c r="F11" s="93">
        <f>550-374-2-12-9</f>
        <v>153</v>
      </c>
      <c r="G11" s="94" t="s">
        <v>3</v>
      </c>
      <c r="H11" s="95">
        <v>457.49779999999998</v>
      </c>
      <c r="I11" s="96">
        <f t="shared" si="0"/>
        <v>69997.16339999999</v>
      </c>
      <c r="K11" s="76"/>
    </row>
    <row r="12" spans="1:11" s="76" customFormat="1" ht="11.25" customHeight="1" x14ac:dyDescent="0.2">
      <c r="A12" s="94">
        <v>7</v>
      </c>
      <c r="B12" s="90">
        <v>45000</v>
      </c>
      <c r="C12" s="90">
        <v>45000</v>
      </c>
      <c r="D12" s="91" t="s">
        <v>239</v>
      </c>
      <c r="E12" s="92" t="s">
        <v>250</v>
      </c>
      <c r="F12" s="93">
        <v>25</v>
      </c>
      <c r="G12" s="94" t="s">
        <v>3</v>
      </c>
      <c r="H12" s="95">
        <v>28314.1</v>
      </c>
      <c r="I12" s="96">
        <f t="shared" si="0"/>
        <v>707852.5</v>
      </c>
      <c r="J12" s="77"/>
      <c r="K12" s="84"/>
    </row>
    <row r="13" spans="1:11" s="76" customFormat="1" ht="11.25" customHeight="1" x14ac:dyDescent="0.2">
      <c r="A13" s="94">
        <v>8</v>
      </c>
      <c r="B13" s="90">
        <v>45174</v>
      </c>
      <c r="C13" s="90">
        <v>45174</v>
      </c>
      <c r="D13" s="91" t="s">
        <v>239</v>
      </c>
      <c r="E13" s="92" t="s">
        <v>228</v>
      </c>
      <c r="F13" s="93">
        <f>250-21</f>
        <v>229</v>
      </c>
      <c r="G13" s="94" t="s">
        <v>3</v>
      </c>
      <c r="H13" s="95">
        <v>4850</v>
      </c>
      <c r="I13" s="96">
        <f t="shared" si="0"/>
        <v>1110650</v>
      </c>
      <c r="J13" s="77"/>
    </row>
    <row r="14" spans="1:11" s="113" customFormat="1" ht="11.25" customHeight="1" x14ac:dyDescent="0.2">
      <c r="A14" s="94">
        <v>9</v>
      </c>
      <c r="B14" s="90">
        <v>45273</v>
      </c>
      <c r="C14" s="90">
        <v>45273</v>
      </c>
      <c r="D14" s="91" t="s">
        <v>239</v>
      </c>
      <c r="E14" s="92" t="s">
        <v>228</v>
      </c>
      <c r="F14" s="93">
        <v>315</v>
      </c>
      <c r="G14" s="94" t="s">
        <v>3</v>
      </c>
      <c r="H14" s="95">
        <v>4885.79</v>
      </c>
      <c r="I14" s="96">
        <f t="shared" si="0"/>
        <v>1539023.85</v>
      </c>
      <c r="J14" s="112"/>
    </row>
    <row r="15" spans="1:11" s="77" customFormat="1" ht="12.75" customHeight="1" x14ac:dyDescent="0.2">
      <c r="A15" s="94">
        <v>11</v>
      </c>
      <c r="B15" s="90">
        <v>45240</v>
      </c>
      <c r="C15" s="90">
        <v>45240</v>
      </c>
      <c r="D15" s="91" t="s">
        <v>220</v>
      </c>
      <c r="E15" s="92" t="s">
        <v>215</v>
      </c>
      <c r="F15" s="93">
        <f>2000-128</f>
        <v>1872</v>
      </c>
      <c r="G15" s="94" t="s">
        <v>3</v>
      </c>
      <c r="H15" s="95">
        <v>988.25</v>
      </c>
      <c r="I15" s="96">
        <f t="shared" si="0"/>
        <v>1850004</v>
      </c>
      <c r="K15" s="76"/>
    </row>
    <row r="16" spans="1:11" s="77" customFormat="1" ht="12.75" customHeight="1" x14ac:dyDescent="0.2">
      <c r="A16" s="94">
        <v>13</v>
      </c>
      <c r="B16" s="90">
        <v>45240</v>
      </c>
      <c r="C16" s="90">
        <v>45240</v>
      </c>
      <c r="D16" s="91" t="s">
        <v>265</v>
      </c>
      <c r="E16" s="92" t="s">
        <v>264</v>
      </c>
      <c r="F16" s="93">
        <f>1150-418</f>
        <v>732</v>
      </c>
      <c r="G16" s="94" t="s">
        <v>3</v>
      </c>
      <c r="H16" s="95">
        <v>1319.83</v>
      </c>
      <c r="I16" s="96">
        <f t="shared" si="0"/>
        <v>966115.55999999994</v>
      </c>
      <c r="K16" s="76"/>
    </row>
    <row r="17" spans="1:11" s="77" customFormat="1" ht="12.75" customHeight="1" x14ac:dyDescent="0.2">
      <c r="A17" s="94">
        <v>14</v>
      </c>
      <c r="B17" s="90">
        <v>45188</v>
      </c>
      <c r="C17" s="90">
        <v>45188</v>
      </c>
      <c r="D17" s="91" t="s">
        <v>158</v>
      </c>
      <c r="E17" s="92" t="s">
        <v>146</v>
      </c>
      <c r="F17" s="93">
        <f>2000-232-6-130-769</f>
        <v>863</v>
      </c>
      <c r="G17" s="94" t="s">
        <v>3</v>
      </c>
      <c r="H17" s="95">
        <v>234.79640000000001</v>
      </c>
      <c r="I17" s="96">
        <f t="shared" si="0"/>
        <v>202629.29320000001</v>
      </c>
      <c r="K17" s="76"/>
    </row>
    <row r="18" spans="1:11" s="77" customFormat="1" ht="12.75" customHeight="1" x14ac:dyDescent="0.2">
      <c r="A18" s="94">
        <v>15</v>
      </c>
      <c r="B18" s="90">
        <v>45188</v>
      </c>
      <c r="C18" s="90">
        <v>45188</v>
      </c>
      <c r="D18" s="91" t="s">
        <v>282</v>
      </c>
      <c r="E18" s="92" t="s">
        <v>276</v>
      </c>
      <c r="F18" s="93">
        <f>1000-122-36-48</f>
        <v>794</v>
      </c>
      <c r="G18" s="94" t="s">
        <v>3</v>
      </c>
      <c r="H18" s="95">
        <v>207.99860000000001</v>
      </c>
      <c r="I18" s="96">
        <f t="shared" si="0"/>
        <v>165150.8884</v>
      </c>
      <c r="K18" s="76"/>
    </row>
    <row r="19" spans="1:11" s="77" customFormat="1" ht="12.75" customHeight="1" x14ac:dyDescent="0.2">
      <c r="A19" s="94">
        <v>16</v>
      </c>
      <c r="B19" s="90">
        <v>45191</v>
      </c>
      <c r="C19" s="90">
        <v>45191</v>
      </c>
      <c r="D19" s="91" t="s">
        <v>280</v>
      </c>
      <c r="E19" s="92" t="s">
        <v>273</v>
      </c>
      <c r="F19" s="93">
        <f>518-134-76-94-45</f>
        <v>169</v>
      </c>
      <c r="G19" s="94" t="s">
        <v>3</v>
      </c>
      <c r="H19" s="95">
        <v>2780.5048000000002</v>
      </c>
      <c r="I19" s="96">
        <f t="shared" si="0"/>
        <v>469905.31120000005</v>
      </c>
      <c r="K19" s="76"/>
    </row>
    <row r="20" spans="1:11" s="5" customFormat="1" ht="13.5" customHeight="1" x14ac:dyDescent="0.2">
      <c r="A20" s="94">
        <v>17</v>
      </c>
      <c r="B20" s="90">
        <v>44729</v>
      </c>
      <c r="C20" s="90">
        <v>44729</v>
      </c>
      <c r="D20" s="91" t="s">
        <v>152</v>
      </c>
      <c r="E20" s="92" t="s">
        <v>149</v>
      </c>
      <c r="F20" s="97">
        <f>297-43-30-10-15-116-1</f>
        <v>82</v>
      </c>
      <c r="G20" s="94" t="s">
        <v>3</v>
      </c>
      <c r="H20" s="95">
        <v>4165.3999999999996</v>
      </c>
      <c r="I20" s="96">
        <f t="shared" si="0"/>
        <v>341562.8</v>
      </c>
      <c r="J20" s="77"/>
    </row>
    <row r="21" spans="1:11" s="5" customFormat="1" ht="13.5" customHeight="1" x14ac:dyDescent="0.2">
      <c r="A21" s="94">
        <v>18</v>
      </c>
      <c r="B21" s="90">
        <v>45201</v>
      </c>
      <c r="C21" s="90">
        <v>45201</v>
      </c>
      <c r="D21" s="91" t="s">
        <v>152</v>
      </c>
      <c r="E21" s="92" t="s">
        <v>149</v>
      </c>
      <c r="F21" s="97">
        <v>300</v>
      </c>
      <c r="G21" s="94" t="s">
        <v>3</v>
      </c>
      <c r="H21" s="95">
        <v>4167.9960000000001</v>
      </c>
      <c r="I21" s="96">
        <f t="shared" si="0"/>
        <v>1250398.8</v>
      </c>
      <c r="J21" s="77"/>
      <c r="K21" s="109"/>
    </row>
    <row r="22" spans="1:11" s="5" customFormat="1" ht="13.5" customHeight="1" x14ac:dyDescent="0.2">
      <c r="A22" s="94">
        <v>19</v>
      </c>
      <c r="B22" s="90">
        <v>41992</v>
      </c>
      <c r="C22" s="90">
        <v>41992</v>
      </c>
      <c r="D22" s="91" t="s">
        <v>150</v>
      </c>
      <c r="E22" s="92" t="s">
        <v>46</v>
      </c>
      <c r="F22" s="93">
        <f>194-17</f>
        <v>177</v>
      </c>
      <c r="G22" s="94" t="s">
        <v>3</v>
      </c>
      <c r="H22" s="95">
        <v>110</v>
      </c>
      <c r="I22" s="96">
        <f t="shared" si="0"/>
        <v>19470</v>
      </c>
      <c r="J22" s="77"/>
    </row>
    <row r="23" spans="1:11" s="77" customFormat="1" ht="15.75" customHeight="1" x14ac:dyDescent="0.2">
      <c r="A23" s="94">
        <v>20</v>
      </c>
      <c r="B23" s="90">
        <v>45155</v>
      </c>
      <c r="C23" s="90">
        <v>45155</v>
      </c>
      <c r="D23" s="91" t="s">
        <v>190</v>
      </c>
      <c r="E23" s="92" t="s">
        <v>270</v>
      </c>
      <c r="F23" s="93">
        <f>600-78-57-60-289</f>
        <v>116</v>
      </c>
      <c r="G23" s="94" t="s">
        <v>3</v>
      </c>
      <c r="H23" s="95">
        <v>241.9</v>
      </c>
      <c r="I23" s="96">
        <f t="shared" si="0"/>
        <v>28060.400000000001</v>
      </c>
    </row>
    <row r="24" spans="1:11" s="5" customFormat="1" ht="13.5" customHeight="1" x14ac:dyDescent="0.2">
      <c r="A24" s="94">
        <v>21</v>
      </c>
      <c r="B24" s="90">
        <v>42362</v>
      </c>
      <c r="C24" s="90">
        <v>42362</v>
      </c>
      <c r="D24" s="91" t="s">
        <v>151</v>
      </c>
      <c r="E24" s="92" t="s">
        <v>12</v>
      </c>
      <c r="F24" s="93">
        <f>844-7-1-2-275</f>
        <v>559</v>
      </c>
      <c r="G24" s="94" t="s">
        <v>3</v>
      </c>
      <c r="H24" s="95">
        <v>100</v>
      </c>
      <c r="I24" s="96">
        <f t="shared" si="0"/>
        <v>55900</v>
      </c>
      <c r="J24" s="77"/>
    </row>
    <row r="25" spans="1:11" s="5" customFormat="1" ht="13.5" customHeight="1" x14ac:dyDescent="0.2">
      <c r="A25" s="94">
        <v>22</v>
      </c>
      <c r="B25" s="90">
        <v>45240</v>
      </c>
      <c r="C25" s="90">
        <v>45240</v>
      </c>
      <c r="D25" s="91" t="s">
        <v>151</v>
      </c>
      <c r="E25" s="92" t="s">
        <v>12</v>
      </c>
      <c r="F25" s="93">
        <v>200</v>
      </c>
      <c r="G25" s="94" t="s">
        <v>3</v>
      </c>
      <c r="H25" s="95">
        <v>193.52</v>
      </c>
      <c r="I25" s="96">
        <f t="shared" si="0"/>
        <v>38704</v>
      </c>
      <c r="J25" s="77"/>
      <c r="K25" s="76"/>
    </row>
    <row r="26" spans="1:11" s="77" customFormat="1" ht="13.5" customHeight="1" x14ac:dyDescent="0.2">
      <c r="A26" s="94">
        <v>23</v>
      </c>
      <c r="B26" s="90">
        <v>45063</v>
      </c>
      <c r="C26" s="90">
        <v>45063</v>
      </c>
      <c r="D26" s="91" t="s">
        <v>191</v>
      </c>
      <c r="E26" s="92" t="s">
        <v>175</v>
      </c>
      <c r="F26" s="93">
        <f>623-80-120-170-40-200-10</f>
        <v>3</v>
      </c>
      <c r="G26" s="94" t="s">
        <v>3</v>
      </c>
      <c r="H26" s="95">
        <v>1829</v>
      </c>
      <c r="I26" s="96">
        <f t="shared" si="0"/>
        <v>5487</v>
      </c>
    </row>
    <row r="27" spans="1:11" s="77" customFormat="1" ht="18.75" customHeight="1" x14ac:dyDescent="0.2">
      <c r="A27" s="94">
        <v>24</v>
      </c>
      <c r="B27" s="90">
        <v>45091</v>
      </c>
      <c r="C27" s="90">
        <v>45091</v>
      </c>
      <c r="D27" s="91" t="s">
        <v>209</v>
      </c>
      <c r="E27" s="92" t="s">
        <v>256</v>
      </c>
      <c r="F27" s="93">
        <f>1687-61-15-8-421-237-295-97-100-344</f>
        <v>109</v>
      </c>
      <c r="G27" s="94" t="s">
        <v>3</v>
      </c>
      <c r="H27" s="95">
        <v>896.8</v>
      </c>
      <c r="I27" s="96">
        <f t="shared" si="0"/>
        <v>97751.2</v>
      </c>
    </row>
    <row r="28" spans="1:11" s="77" customFormat="1" ht="15.75" customHeight="1" x14ac:dyDescent="0.2">
      <c r="A28" s="94">
        <v>25</v>
      </c>
      <c r="B28" s="90">
        <v>44909</v>
      </c>
      <c r="C28" s="90">
        <v>44909</v>
      </c>
      <c r="D28" s="91" t="s">
        <v>153</v>
      </c>
      <c r="E28" s="92" t="s">
        <v>39</v>
      </c>
      <c r="F28" s="93">
        <f>180-4-1-75-53-13-4-25</f>
        <v>5</v>
      </c>
      <c r="G28" s="94" t="s">
        <v>3</v>
      </c>
      <c r="H28" s="95">
        <v>4159.5</v>
      </c>
      <c r="I28" s="96">
        <f t="shared" si="0"/>
        <v>20797.5</v>
      </c>
    </row>
    <row r="29" spans="1:11" s="76" customFormat="1" ht="15" customHeight="1" x14ac:dyDescent="0.2">
      <c r="A29" s="94">
        <v>26</v>
      </c>
      <c r="B29" s="90">
        <v>42777</v>
      </c>
      <c r="C29" s="90">
        <v>42777</v>
      </c>
      <c r="D29" s="91" t="s">
        <v>154</v>
      </c>
      <c r="E29" s="92" t="s">
        <v>20</v>
      </c>
      <c r="F29" s="93">
        <f>125-2-4-1-2-2-3-2-1-1-10-1-11</f>
        <v>85</v>
      </c>
      <c r="G29" s="94" t="s">
        <v>3</v>
      </c>
      <c r="H29" s="95">
        <v>2400</v>
      </c>
      <c r="I29" s="96">
        <f t="shared" si="0"/>
        <v>204000</v>
      </c>
      <c r="J29" s="77"/>
    </row>
    <row r="30" spans="1:11" s="76" customFormat="1" ht="15" customHeight="1" x14ac:dyDescent="0.2">
      <c r="A30" s="94">
        <v>28</v>
      </c>
      <c r="B30" s="90">
        <v>45155</v>
      </c>
      <c r="C30" s="90">
        <v>45155</v>
      </c>
      <c r="D30" s="91" t="s">
        <v>154</v>
      </c>
      <c r="E30" s="92" t="s">
        <v>269</v>
      </c>
      <c r="F30" s="93">
        <f>600-562</f>
        <v>38</v>
      </c>
      <c r="G30" s="94" t="s">
        <v>3</v>
      </c>
      <c r="H30" s="95">
        <v>4047.4</v>
      </c>
      <c r="I30" s="96">
        <f t="shared" si="0"/>
        <v>153801.20000000001</v>
      </c>
      <c r="J30" s="77"/>
    </row>
    <row r="31" spans="1:11" s="77" customFormat="1" ht="15" customHeight="1" x14ac:dyDescent="0.2">
      <c r="A31" s="94">
        <v>29</v>
      </c>
      <c r="B31" s="90">
        <v>45077</v>
      </c>
      <c r="C31" s="90">
        <v>45077</v>
      </c>
      <c r="D31" s="91" t="s">
        <v>159</v>
      </c>
      <c r="E31" s="92" t="s">
        <v>255</v>
      </c>
      <c r="F31" s="93">
        <f>4100-53-14-746-290-71-64-43-488</f>
        <v>2331</v>
      </c>
      <c r="G31" s="94" t="s">
        <v>3</v>
      </c>
      <c r="H31" s="93">
        <v>374.06</v>
      </c>
      <c r="I31" s="96">
        <f t="shared" si="0"/>
        <v>871933.86</v>
      </c>
    </row>
    <row r="32" spans="1:11" s="75" customFormat="1" ht="15" customHeight="1" x14ac:dyDescent="0.25">
      <c r="A32" s="94">
        <v>30</v>
      </c>
      <c r="B32" s="98">
        <v>44538</v>
      </c>
      <c r="C32" s="98">
        <v>44538</v>
      </c>
      <c r="D32" s="99" t="s">
        <v>193</v>
      </c>
      <c r="E32" s="100" t="s">
        <v>178</v>
      </c>
      <c r="F32" s="101">
        <f>650-388-22-9-15-25-39-4</f>
        <v>148</v>
      </c>
      <c r="G32" s="94" t="s">
        <v>3</v>
      </c>
      <c r="H32" s="102">
        <v>808.3</v>
      </c>
      <c r="I32" s="96">
        <f t="shared" si="0"/>
        <v>119628.4</v>
      </c>
      <c r="J32" s="8"/>
    </row>
    <row r="33" spans="1:12" s="75" customFormat="1" ht="15" customHeight="1" x14ac:dyDescent="0.25">
      <c r="A33" s="94">
        <v>31</v>
      </c>
      <c r="B33" s="98">
        <v>45288</v>
      </c>
      <c r="C33" s="98">
        <v>45288</v>
      </c>
      <c r="D33" s="99" t="s">
        <v>193</v>
      </c>
      <c r="E33" s="100" t="s">
        <v>178</v>
      </c>
      <c r="F33" s="101">
        <v>300</v>
      </c>
      <c r="G33" s="94" t="s">
        <v>3</v>
      </c>
      <c r="H33" s="102">
        <v>812.9</v>
      </c>
      <c r="I33" s="96">
        <f t="shared" si="0"/>
        <v>243870</v>
      </c>
      <c r="J33" s="8"/>
    </row>
    <row r="34" spans="1:12" s="75" customFormat="1" ht="15" customHeight="1" x14ac:dyDescent="0.25">
      <c r="A34" s="94">
        <v>32</v>
      </c>
      <c r="B34" s="98">
        <v>45288</v>
      </c>
      <c r="C34" s="98">
        <v>45288</v>
      </c>
      <c r="D34" s="99" t="s">
        <v>193</v>
      </c>
      <c r="E34" s="100" t="s">
        <v>314</v>
      </c>
      <c r="F34" s="101">
        <v>300</v>
      </c>
      <c r="G34" s="94" t="s">
        <v>3</v>
      </c>
      <c r="H34" s="102">
        <v>710.18</v>
      </c>
      <c r="I34" s="96">
        <f t="shared" si="0"/>
        <v>213053.99999999997</v>
      </c>
      <c r="J34" s="8"/>
    </row>
    <row r="35" spans="1:12" s="77" customFormat="1" ht="11.25" customHeight="1" x14ac:dyDescent="0.2">
      <c r="A35" s="94">
        <v>33</v>
      </c>
      <c r="B35" s="90">
        <v>44866</v>
      </c>
      <c r="C35" s="90">
        <v>44866</v>
      </c>
      <c r="D35" s="91" t="s">
        <v>225</v>
      </c>
      <c r="E35" s="92" t="s">
        <v>226</v>
      </c>
      <c r="F35" s="93">
        <f>300-191-4-31-12-9-1-10-5-3-2-2-4-2</f>
        <v>24</v>
      </c>
      <c r="G35" s="94" t="s">
        <v>3</v>
      </c>
      <c r="H35" s="95">
        <v>3763.61</v>
      </c>
      <c r="I35" s="96">
        <f t="shared" si="0"/>
        <v>90326.64</v>
      </c>
    </row>
    <row r="36" spans="1:12" s="112" customFormat="1" ht="11.25" customHeight="1" x14ac:dyDescent="0.2">
      <c r="A36" s="94">
        <v>34</v>
      </c>
      <c r="B36" s="90">
        <v>45287</v>
      </c>
      <c r="C36" s="90">
        <v>45288</v>
      </c>
      <c r="D36" s="91" t="s">
        <v>155</v>
      </c>
      <c r="E36" s="92" t="s">
        <v>226</v>
      </c>
      <c r="F36" s="93">
        <v>227</v>
      </c>
      <c r="G36" s="93" t="s">
        <v>3</v>
      </c>
      <c r="H36" s="144">
        <v>4439.9977973568002</v>
      </c>
      <c r="I36" s="121">
        <f t="shared" si="0"/>
        <v>1007879.4999999936</v>
      </c>
    </row>
    <row r="37" spans="1:12" s="8" customFormat="1" ht="25.5" x14ac:dyDescent="0.25">
      <c r="A37" s="94">
        <v>35</v>
      </c>
      <c r="B37" s="90">
        <v>45100</v>
      </c>
      <c r="C37" s="90">
        <v>45100</v>
      </c>
      <c r="D37" s="91" t="s">
        <v>155</v>
      </c>
      <c r="E37" s="92" t="s">
        <v>28</v>
      </c>
      <c r="F37" s="101">
        <f>1923-173-510-151-123-116-753</f>
        <v>97</v>
      </c>
      <c r="G37" s="94" t="s">
        <v>3</v>
      </c>
      <c r="H37" s="103">
        <v>720.51</v>
      </c>
      <c r="I37" s="96">
        <f t="shared" si="0"/>
        <v>69889.47</v>
      </c>
    </row>
    <row r="38" spans="1:12" s="8" customFormat="1" ht="25.5" x14ac:dyDescent="0.25">
      <c r="A38" s="94">
        <v>36</v>
      </c>
      <c r="B38" s="90">
        <v>45240</v>
      </c>
      <c r="C38" s="90">
        <v>45240</v>
      </c>
      <c r="D38" s="91" t="s">
        <v>155</v>
      </c>
      <c r="E38" s="92" t="s">
        <v>28</v>
      </c>
      <c r="F38" s="101">
        <v>977</v>
      </c>
      <c r="G38" s="94" t="s">
        <v>3</v>
      </c>
      <c r="H38" s="103">
        <v>720.50800000000004</v>
      </c>
      <c r="I38" s="96">
        <f t="shared" si="0"/>
        <v>703936.31599999999</v>
      </c>
      <c r="K38" s="76"/>
    </row>
    <row r="39" spans="1:12" s="8" customFormat="1" ht="24.75" customHeight="1" x14ac:dyDescent="0.25">
      <c r="A39" s="94">
        <v>37</v>
      </c>
      <c r="B39" s="90">
        <v>45188</v>
      </c>
      <c r="C39" s="90">
        <v>45188</v>
      </c>
      <c r="D39" s="91" t="s">
        <v>281</v>
      </c>
      <c r="E39" s="92" t="s">
        <v>277</v>
      </c>
      <c r="F39" s="101">
        <f>2000-496-140</f>
        <v>1364</v>
      </c>
      <c r="G39" s="94" t="s">
        <v>3</v>
      </c>
      <c r="H39" s="103">
        <v>170.4982</v>
      </c>
      <c r="I39" s="96">
        <f>F39*H39</f>
        <v>232559.5448</v>
      </c>
      <c r="K39" s="76"/>
    </row>
    <row r="40" spans="1:12" s="8" customFormat="1" ht="24.75" customHeight="1" x14ac:dyDescent="0.25">
      <c r="A40" s="94">
        <v>38</v>
      </c>
      <c r="B40" s="90">
        <v>45188</v>
      </c>
      <c r="C40" s="90">
        <v>45188</v>
      </c>
      <c r="D40" s="91" t="s">
        <v>275</v>
      </c>
      <c r="E40" s="92" t="s">
        <v>278</v>
      </c>
      <c r="F40" s="101">
        <f>1000-60</f>
        <v>940</v>
      </c>
      <c r="G40" s="94" t="s">
        <v>3</v>
      </c>
      <c r="H40" s="103">
        <v>167.14699999999999</v>
      </c>
      <c r="I40" s="96">
        <f>F40*H40</f>
        <v>157118.18</v>
      </c>
      <c r="K40" s="76"/>
    </row>
    <row r="41" spans="1:12" s="8" customFormat="1" ht="24.75" customHeight="1" x14ac:dyDescent="0.25">
      <c r="A41" s="94">
        <v>39</v>
      </c>
      <c r="B41" s="90">
        <v>45188</v>
      </c>
      <c r="C41" s="90">
        <v>45188</v>
      </c>
      <c r="D41" s="91" t="s">
        <v>193</v>
      </c>
      <c r="E41" s="92" t="s">
        <v>279</v>
      </c>
      <c r="F41" s="101">
        <f>550-374-32-23</f>
        <v>121</v>
      </c>
      <c r="G41" s="94" t="s">
        <v>3</v>
      </c>
      <c r="H41" s="103">
        <v>168.50399999999999</v>
      </c>
      <c r="I41" s="96">
        <f>F41*H41</f>
        <v>20388.984</v>
      </c>
      <c r="K41" s="76"/>
    </row>
    <row r="42" spans="1:12" s="8" customFormat="1" ht="20.25" customHeight="1" x14ac:dyDescent="0.25">
      <c r="A42" s="94">
        <v>40</v>
      </c>
      <c r="B42" s="90">
        <v>44921</v>
      </c>
      <c r="C42" s="90">
        <v>44921</v>
      </c>
      <c r="D42" s="91" t="s">
        <v>246</v>
      </c>
      <c r="E42" s="92" t="s">
        <v>229</v>
      </c>
      <c r="F42" s="101">
        <f>835-3-6-9-25-46-9-41-19-6-189-167-18-27-16-117</f>
        <v>137</v>
      </c>
      <c r="G42" s="94" t="s">
        <v>3</v>
      </c>
      <c r="H42" s="145">
        <v>1475</v>
      </c>
      <c r="I42" s="96">
        <f>F42*H42</f>
        <v>202075</v>
      </c>
      <c r="K42" s="79"/>
    </row>
    <row r="43" spans="1:12" s="8" customFormat="1" ht="20.25" customHeight="1" x14ac:dyDescent="0.25">
      <c r="A43" s="94">
        <v>41</v>
      </c>
      <c r="B43" s="90">
        <v>45260</v>
      </c>
      <c r="C43" s="90">
        <v>45260</v>
      </c>
      <c r="D43" s="91" t="s">
        <v>246</v>
      </c>
      <c r="E43" s="92" t="s">
        <v>229</v>
      </c>
      <c r="F43" s="101">
        <v>300</v>
      </c>
      <c r="G43" s="94" t="s">
        <v>3</v>
      </c>
      <c r="H43" s="145">
        <v>1465.56</v>
      </c>
      <c r="I43" s="96">
        <f>F43*H43</f>
        <v>439668</v>
      </c>
      <c r="K43" s="79"/>
    </row>
    <row r="44" spans="1:12" s="16" customFormat="1" x14ac:dyDescent="0.25">
      <c r="A44" s="94">
        <v>42</v>
      </c>
      <c r="B44" s="90">
        <v>44736</v>
      </c>
      <c r="C44" s="90">
        <v>44736</v>
      </c>
      <c r="D44" s="91" t="s">
        <v>200</v>
      </c>
      <c r="E44" s="92" t="s">
        <v>210</v>
      </c>
      <c r="F44" s="93">
        <f>217.3-43.3-3-30-12-6-5</f>
        <v>118</v>
      </c>
      <c r="G44" s="94" t="s">
        <v>201</v>
      </c>
      <c r="H44" s="146">
        <v>5654.2797975100002</v>
      </c>
      <c r="I44" s="96">
        <f>+F44*H44</f>
        <v>667205.01610618003</v>
      </c>
      <c r="J44" s="72"/>
    </row>
    <row r="45" spans="1:12" s="8" customFormat="1" ht="23.25" customHeight="1" x14ac:dyDescent="0.25">
      <c r="A45" s="94">
        <v>43</v>
      </c>
      <c r="B45" s="90">
        <v>45156</v>
      </c>
      <c r="C45" s="90">
        <v>45156</v>
      </c>
      <c r="D45" s="91" t="s">
        <v>156</v>
      </c>
      <c r="E45" s="92" t="s">
        <v>268</v>
      </c>
      <c r="F45" s="93">
        <f>275-250-2-5</f>
        <v>18</v>
      </c>
      <c r="G45" s="94" t="s">
        <v>3</v>
      </c>
      <c r="H45" s="95">
        <v>396.48</v>
      </c>
      <c r="I45" s="96">
        <f>F45*H45</f>
        <v>7136.64</v>
      </c>
      <c r="J45" s="72"/>
    </row>
    <row r="46" spans="1:12" s="8" customFormat="1" x14ac:dyDescent="0.25">
      <c r="A46" s="94">
        <v>44</v>
      </c>
      <c r="B46" s="90">
        <v>44714</v>
      </c>
      <c r="C46" s="90">
        <v>44714</v>
      </c>
      <c r="D46" s="91" t="s">
        <v>192</v>
      </c>
      <c r="E46" s="92" t="s">
        <v>176</v>
      </c>
      <c r="F46" s="93">
        <f>625-32-18-20-2</f>
        <v>553</v>
      </c>
      <c r="G46" s="94" t="s">
        <v>3</v>
      </c>
      <c r="H46" s="95">
        <v>1185.9000000000001</v>
      </c>
      <c r="I46" s="96">
        <f>F46*H46</f>
        <v>655802.70000000007</v>
      </c>
      <c r="J46" s="72"/>
    </row>
    <row r="47" spans="1:12" s="8" customFormat="1" ht="25.5" x14ac:dyDescent="0.25">
      <c r="A47" s="94">
        <v>45</v>
      </c>
      <c r="B47" s="90">
        <v>44714</v>
      </c>
      <c r="C47" s="90">
        <v>44714</v>
      </c>
      <c r="D47" s="91" t="s">
        <v>157</v>
      </c>
      <c r="E47" s="92" t="s">
        <v>79</v>
      </c>
      <c r="F47" s="93">
        <f>625-11-8-2</f>
        <v>604</v>
      </c>
      <c r="G47" s="94" t="s">
        <v>3</v>
      </c>
      <c r="H47" s="95">
        <v>759.92</v>
      </c>
      <c r="I47" s="96">
        <f>F47*H47</f>
        <v>458991.68</v>
      </c>
      <c r="J47" s="72"/>
    </row>
    <row r="48" spans="1:12" s="8" customFormat="1" ht="21.75" customHeight="1" x14ac:dyDescent="0.25">
      <c r="A48" s="94">
        <v>46</v>
      </c>
      <c r="B48" s="98">
        <v>45174</v>
      </c>
      <c r="C48" s="98">
        <v>45174</v>
      </c>
      <c r="D48" s="125" t="s">
        <v>272</v>
      </c>
      <c r="E48" s="92" t="s">
        <v>271</v>
      </c>
      <c r="F48" s="101">
        <f>250-1-2</f>
        <v>247</v>
      </c>
      <c r="G48" s="93" t="s">
        <v>3</v>
      </c>
      <c r="H48" s="138">
        <v>3050</v>
      </c>
      <c r="I48" s="96">
        <f>F48*H48</f>
        <v>753350</v>
      </c>
      <c r="J48" s="72"/>
      <c r="K48" s="76"/>
      <c r="L48" s="73"/>
    </row>
    <row r="49" spans="1:12" s="8" customFormat="1" ht="21.75" customHeight="1" x14ac:dyDescent="0.25">
      <c r="A49" s="94">
        <v>47</v>
      </c>
      <c r="B49" s="98">
        <v>45244</v>
      </c>
      <c r="C49" s="98">
        <v>45244</v>
      </c>
      <c r="D49" s="91" t="s">
        <v>157</v>
      </c>
      <c r="E49" s="92" t="s">
        <v>309</v>
      </c>
      <c r="F49" s="93">
        <f>160-2</f>
        <v>158</v>
      </c>
      <c r="G49" s="94" t="s">
        <v>3</v>
      </c>
      <c r="H49" s="95">
        <v>4377.8</v>
      </c>
      <c r="I49" s="96">
        <f>F49*H49</f>
        <v>691692.4</v>
      </c>
      <c r="K49" s="76"/>
      <c r="L49" s="73"/>
    </row>
    <row r="50" spans="1:12" s="39" customFormat="1" ht="15.75" customHeight="1" x14ac:dyDescent="0.25">
      <c r="A50" s="38"/>
      <c r="E50" s="38"/>
      <c r="G50" s="38"/>
      <c r="H50" s="104" t="s">
        <v>17</v>
      </c>
      <c r="I50" s="105">
        <f>SUM(I6:I49)</f>
        <v>17994288.397106171</v>
      </c>
      <c r="J50" s="107"/>
      <c r="K50" s="38"/>
      <c r="L50" s="38"/>
    </row>
    <row r="51" spans="1:12" s="39" customFormat="1" ht="15.75" customHeight="1" x14ac:dyDescent="0.25">
      <c r="B51" s="177"/>
      <c r="C51" s="177"/>
      <c r="D51" s="177"/>
      <c r="E51" s="177"/>
      <c r="F51" s="177"/>
      <c r="G51" s="177"/>
      <c r="H51" s="177"/>
      <c r="I51" s="41"/>
      <c r="J51" s="107"/>
      <c r="K51" s="38"/>
      <c r="L51" s="38"/>
    </row>
    <row r="52" spans="1:12" s="39" customFormat="1" ht="15.75" customHeight="1" x14ac:dyDescent="0.25">
      <c r="B52" s="177"/>
      <c r="C52" s="177"/>
      <c r="D52" s="177"/>
      <c r="E52" s="177"/>
      <c r="F52" s="177"/>
      <c r="G52" s="177"/>
      <c r="H52" s="177"/>
      <c r="I52" s="41"/>
      <c r="J52" s="107"/>
      <c r="K52" s="110"/>
      <c r="L52" s="38"/>
    </row>
    <row r="53" spans="1:12" s="39" customFormat="1" ht="15.75" customHeight="1" x14ac:dyDescent="0.25">
      <c r="E53" s="38"/>
      <c r="G53" s="38"/>
      <c r="H53" s="40"/>
      <c r="I53" s="41"/>
      <c r="J53" s="107"/>
      <c r="K53" s="110"/>
      <c r="L53" s="38"/>
    </row>
    <row r="54" spans="1:12" s="39" customFormat="1" ht="15.75" customHeight="1" x14ac:dyDescent="0.25">
      <c r="E54" s="38"/>
      <c r="G54" s="38"/>
      <c r="H54" s="40"/>
      <c r="I54" s="41"/>
      <c r="J54" s="107"/>
      <c r="K54" s="110"/>
      <c r="L54" s="38"/>
    </row>
    <row r="55" spans="1:12" x14ac:dyDescent="0.25">
      <c r="A55" s="162" t="s">
        <v>248</v>
      </c>
      <c r="B55" s="162"/>
      <c r="C55" s="162"/>
      <c r="D55" s="162"/>
      <c r="E55" s="162"/>
      <c r="F55" s="162"/>
      <c r="G55" s="162"/>
      <c r="H55" s="162"/>
      <c r="I55" s="162"/>
      <c r="K55" s="111"/>
    </row>
    <row r="56" spans="1:12" ht="15.75" x14ac:dyDescent="0.25">
      <c r="A56" s="156" t="s">
        <v>317</v>
      </c>
      <c r="B56" s="156"/>
      <c r="C56" s="156"/>
      <c r="D56" s="156"/>
      <c r="E56" s="156"/>
      <c r="F56" s="156"/>
      <c r="G56" s="156"/>
      <c r="H56" s="156"/>
      <c r="I56" s="156"/>
    </row>
    <row r="57" spans="1:12" ht="15.75" x14ac:dyDescent="0.25">
      <c r="A57" s="157" t="s">
        <v>318</v>
      </c>
      <c r="B57" s="157"/>
      <c r="C57" s="157"/>
      <c r="D57" s="157"/>
      <c r="E57" s="157"/>
      <c r="F57" s="157"/>
      <c r="G57" s="157"/>
      <c r="H57" s="157"/>
      <c r="I57" s="157"/>
    </row>
    <row r="58" spans="1:12" ht="15.75" x14ac:dyDescent="0.25">
      <c r="A58" s="157" t="s">
        <v>249</v>
      </c>
      <c r="B58" s="157"/>
      <c r="C58" s="157"/>
      <c r="D58" s="157"/>
      <c r="E58" s="157"/>
      <c r="F58" s="157"/>
      <c r="G58" s="157"/>
      <c r="H58" s="157"/>
      <c r="I58" s="157"/>
    </row>
    <row r="59" spans="1:12" s="36" customFormat="1" x14ac:dyDescent="0.25">
      <c r="A59" s="115"/>
      <c r="B59" s="158"/>
      <c r="C59" s="158"/>
      <c r="D59" s="158"/>
      <c r="E59" s="159"/>
      <c r="F59" s="159"/>
      <c r="G59" s="65"/>
      <c r="H59" s="161"/>
      <c r="I59" s="161"/>
      <c r="J59" s="108"/>
    </row>
    <row r="60" spans="1:12" s="36" customFormat="1" x14ac:dyDescent="0.25">
      <c r="A60" s="115"/>
      <c r="B60" s="160"/>
      <c r="C60" s="160"/>
      <c r="D60" s="160"/>
      <c r="E60" s="160"/>
      <c r="F60" s="160"/>
      <c r="G60" s="66"/>
      <c r="H60" s="67"/>
      <c r="I60" s="66"/>
      <c r="J60" s="108"/>
    </row>
    <row r="61" spans="1:12" s="36" customFormat="1" x14ac:dyDescent="0.25">
      <c r="A61" s="178"/>
      <c r="B61" s="178"/>
      <c r="C61" s="178"/>
      <c r="D61" s="178"/>
      <c r="E61" s="178"/>
      <c r="F61" s="178"/>
      <c r="G61" s="178"/>
      <c r="H61" s="178"/>
      <c r="I61" s="178"/>
      <c r="J61" s="108"/>
    </row>
    <row r="62" spans="1:12" s="20" customFormat="1" ht="15.75" customHeight="1" x14ac:dyDescent="0.25">
      <c r="A62" s="116"/>
      <c r="E62"/>
      <c r="F62" s="34"/>
      <c r="G62"/>
      <c r="H62" s="34"/>
      <c r="I62"/>
      <c r="J62" s="70"/>
      <c r="K62"/>
      <c r="L62"/>
    </row>
    <row r="63" spans="1:12" s="20" customFormat="1" ht="14.25" customHeight="1" x14ac:dyDescent="0.25">
      <c r="A63" s="116"/>
      <c r="F63" s="34"/>
      <c r="G63"/>
      <c r="H63" s="34"/>
      <c r="I63"/>
      <c r="J63" s="70"/>
      <c r="K63"/>
      <c r="L63"/>
    </row>
    <row r="64" spans="1:12" s="20" customFormat="1" ht="14.25" customHeight="1" x14ac:dyDescent="0.25">
      <c r="A64" s="116"/>
      <c r="B64" s="74"/>
      <c r="C64" s="74"/>
      <c r="D64" s="74"/>
      <c r="E64" s="74"/>
      <c r="F64" s="33"/>
      <c r="G64"/>
      <c r="H64" s="71"/>
      <c r="I64"/>
      <c r="J64" s="70"/>
      <c r="K64"/>
      <c r="L64"/>
    </row>
    <row r="65" spans="1:12" s="20" customFormat="1" ht="14.25" customHeight="1" x14ac:dyDescent="0.25">
      <c r="A65" s="117"/>
      <c r="B65" s="61"/>
      <c r="C65" s="61"/>
      <c r="D65" s="61"/>
      <c r="E65" s="61"/>
      <c r="F65" s="61"/>
      <c r="G65"/>
      <c r="H65" s="71"/>
      <c r="I65" s="8"/>
      <c r="J65" s="70"/>
      <c r="K65"/>
      <c r="L65"/>
    </row>
    <row r="66" spans="1:12" x14ac:dyDescent="0.25">
      <c r="B66" s="74"/>
      <c r="C66" s="74"/>
      <c r="D66" s="74"/>
      <c r="E66" s="74"/>
      <c r="F66" s="74"/>
      <c r="G66" s="80"/>
      <c r="H66" s="71"/>
    </row>
    <row r="67" spans="1:12" x14ac:dyDescent="0.25">
      <c r="B67" s="74"/>
      <c r="C67" s="74"/>
      <c r="D67" s="74"/>
      <c r="E67" s="74"/>
      <c r="F67" s="74"/>
      <c r="G67" s="74"/>
      <c r="H67" s="74"/>
    </row>
    <row r="68" spans="1:12" x14ac:dyDescent="0.25">
      <c r="B68" s="74"/>
      <c r="C68" s="74"/>
      <c r="D68" s="74"/>
      <c r="E68" s="74"/>
      <c r="F68" s="74"/>
      <c r="G68" s="74"/>
      <c r="H68" s="74"/>
      <c r="I68" s="78"/>
    </row>
    <row r="72" spans="1:12" x14ac:dyDescent="0.25">
      <c r="I72" s="19"/>
    </row>
    <row r="73" spans="1:12" x14ac:dyDescent="0.25">
      <c r="H73" s="35"/>
      <c r="I73" s="36"/>
    </row>
    <row r="74" spans="1:12" x14ac:dyDescent="0.25">
      <c r="H74" s="37"/>
      <c r="I74" s="36"/>
    </row>
    <row r="75" spans="1:12" x14ac:dyDescent="0.25">
      <c r="H75" s="37"/>
      <c r="I75" s="36"/>
    </row>
    <row r="76" spans="1:12" x14ac:dyDescent="0.25">
      <c r="H76" s="37"/>
      <c r="I76" s="36"/>
    </row>
    <row r="151" spans="5:5" ht="15.75" x14ac:dyDescent="0.25">
      <c r="E151" s="44" t="s">
        <v>222</v>
      </c>
    </row>
  </sheetData>
  <mergeCells count="16">
    <mergeCell ref="A1:I1"/>
    <mergeCell ref="A2:I2"/>
    <mergeCell ref="A3:I3"/>
    <mergeCell ref="A4:I4"/>
    <mergeCell ref="F5:G5"/>
    <mergeCell ref="A61:I61"/>
    <mergeCell ref="B59:D59"/>
    <mergeCell ref="E59:F59"/>
    <mergeCell ref="H59:I59"/>
    <mergeCell ref="B60:D60"/>
    <mergeCell ref="E60:F60"/>
    <mergeCell ref="B51:H52"/>
    <mergeCell ref="A55:I55"/>
    <mergeCell ref="A56:I56"/>
    <mergeCell ref="A57:I57"/>
    <mergeCell ref="A58:I58"/>
  </mergeCells>
  <pageMargins left="0.53" right="0.12" top="0.28999999999999998" bottom="1" header="0.14000000000000001" footer="0.5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workbookViewId="0">
      <selection activeCell="L19" sqref="L19"/>
    </sheetView>
  </sheetViews>
  <sheetFormatPr baseColWidth="10" defaultRowHeight="15" x14ac:dyDescent="0.25"/>
  <cols>
    <col min="1" max="1" width="6.42578125" customWidth="1"/>
    <col min="2" max="2" width="15.28515625" customWidth="1"/>
    <col min="3" max="3" width="14" customWidth="1"/>
    <col min="4" max="4" width="11.42578125" customWidth="1"/>
    <col min="5" max="5" width="25.28515625" customWidth="1"/>
    <col min="6" max="6" width="8.5703125" customWidth="1"/>
    <col min="7" max="7" width="10.28515625" customWidth="1"/>
    <col min="8" max="8" width="15.5703125" customWidth="1"/>
    <col min="9" max="9" width="15.7109375" customWidth="1"/>
    <col min="10" max="10" width="12.28515625" customWidth="1"/>
  </cols>
  <sheetData>
    <row r="1" spans="1:11" x14ac:dyDescent="0.25">
      <c r="A1" s="162"/>
      <c r="B1" s="162"/>
      <c r="C1" s="162"/>
      <c r="D1" s="162"/>
      <c r="E1" s="162"/>
      <c r="F1" s="162"/>
      <c r="G1" s="162"/>
      <c r="H1" s="162"/>
      <c r="I1" s="162"/>
    </row>
    <row r="7" spans="1:11" ht="18.75" x14ac:dyDescent="0.3">
      <c r="A7" s="183" t="s">
        <v>24</v>
      </c>
      <c r="B7" s="183"/>
      <c r="C7" s="183"/>
      <c r="D7" s="183"/>
      <c r="E7" s="183"/>
      <c r="F7" s="183"/>
      <c r="G7" s="183"/>
      <c r="H7" s="183"/>
      <c r="I7" s="183"/>
    </row>
    <row r="8" spans="1:11" ht="15.75" x14ac:dyDescent="0.25">
      <c r="A8" s="184" t="s">
        <v>83</v>
      </c>
      <c r="B8" s="184"/>
      <c r="C8" s="184"/>
      <c r="D8" s="184"/>
      <c r="E8" s="184"/>
      <c r="F8" s="184"/>
      <c r="G8" s="184"/>
      <c r="H8" s="184"/>
      <c r="I8" s="184"/>
    </row>
    <row r="9" spans="1:11" ht="15.75" x14ac:dyDescent="0.25">
      <c r="A9" s="166" t="s">
        <v>322</v>
      </c>
      <c r="B9" s="166"/>
      <c r="C9" s="166"/>
      <c r="D9" s="166"/>
      <c r="E9" s="166"/>
      <c r="F9" s="166"/>
      <c r="G9" s="166"/>
      <c r="H9" s="166"/>
      <c r="I9" s="166"/>
    </row>
    <row r="10" spans="1:11" ht="47.25" x14ac:dyDescent="0.25">
      <c r="A10" s="11" t="s">
        <v>0</v>
      </c>
      <c r="B10" s="12" t="s">
        <v>18</v>
      </c>
      <c r="C10" s="12" t="s">
        <v>88</v>
      </c>
      <c r="D10" s="12" t="s">
        <v>84</v>
      </c>
      <c r="E10" s="13" t="s">
        <v>1</v>
      </c>
      <c r="F10" s="185" t="s">
        <v>2</v>
      </c>
      <c r="G10" s="186"/>
      <c r="H10" s="12" t="s">
        <v>21</v>
      </c>
      <c r="I10" s="14" t="s">
        <v>16</v>
      </c>
      <c r="J10" s="45"/>
    </row>
    <row r="11" spans="1:11" s="8" customFormat="1" ht="15.75" x14ac:dyDescent="0.25">
      <c r="A11" s="81">
        <v>1</v>
      </c>
      <c r="B11" s="82">
        <v>44183</v>
      </c>
      <c r="C11" s="136">
        <v>44183</v>
      </c>
      <c r="D11" s="147" t="s">
        <v>86</v>
      </c>
      <c r="E11" s="137" t="s">
        <v>44</v>
      </c>
      <c r="F11" s="118">
        <f>435-11-10-11-9-11-2-9-5-3-5-2-1-8-3-1-40-5-14-6-38-10-7-5-8-5-3-5-14-28-1-9</f>
        <v>146</v>
      </c>
      <c r="G11" s="118" t="s">
        <v>4</v>
      </c>
      <c r="H11" s="119">
        <v>527.46</v>
      </c>
      <c r="I11" s="83">
        <f>+F11*H11</f>
        <v>77009.16</v>
      </c>
      <c r="J11" s="46"/>
    </row>
    <row r="12" spans="1:11" x14ac:dyDescent="0.25">
      <c r="H12" s="2" t="s">
        <v>17</v>
      </c>
      <c r="I12" s="3">
        <f>SUM(I11:I11)</f>
        <v>77009.16</v>
      </c>
      <c r="J12" s="19"/>
      <c r="K12" s="19"/>
    </row>
    <row r="13" spans="1:11" x14ac:dyDescent="0.25">
      <c r="H13" s="9"/>
      <c r="I13" s="60"/>
      <c r="J13" s="19"/>
      <c r="K13" s="19"/>
    </row>
    <row r="14" spans="1:11" x14ac:dyDescent="0.25">
      <c r="H14" s="9"/>
      <c r="I14" s="60"/>
      <c r="J14" s="19"/>
      <c r="K14" s="19"/>
    </row>
    <row r="15" spans="1:11" x14ac:dyDescent="0.25">
      <c r="H15" s="9"/>
      <c r="I15" s="60"/>
      <c r="J15" s="19"/>
      <c r="K15" s="19"/>
    </row>
    <row r="16" spans="1:11" x14ac:dyDescent="0.25">
      <c r="A16" s="162" t="s">
        <v>248</v>
      </c>
      <c r="B16" s="162"/>
      <c r="C16" s="162"/>
      <c r="D16" s="162"/>
      <c r="E16" s="162"/>
      <c r="F16" s="162"/>
      <c r="G16" s="162"/>
      <c r="H16" s="162"/>
      <c r="I16" s="162"/>
    </row>
    <row r="17" spans="1:9" ht="15.75" x14ac:dyDescent="0.25">
      <c r="A17" s="156" t="s">
        <v>317</v>
      </c>
      <c r="B17" s="156"/>
      <c r="C17" s="156"/>
      <c r="D17" s="156"/>
      <c r="E17" s="156"/>
      <c r="F17" s="156"/>
      <c r="G17" s="156"/>
      <c r="H17" s="156"/>
      <c r="I17" s="156"/>
    </row>
    <row r="18" spans="1:9" ht="15.75" x14ac:dyDescent="0.25">
      <c r="A18" s="157" t="s">
        <v>318</v>
      </c>
      <c r="B18" s="157"/>
      <c r="C18" s="157"/>
      <c r="D18" s="157"/>
      <c r="E18" s="157"/>
      <c r="F18" s="157"/>
      <c r="G18" s="157"/>
      <c r="H18" s="157"/>
      <c r="I18" s="157"/>
    </row>
    <row r="19" spans="1:9" ht="15.75" x14ac:dyDescent="0.25">
      <c r="A19" s="157" t="s">
        <v>249</v>
      </c>
      <c r="B19" s="157"/>
      <c r="C19" s="157"/>
      <c r="D19" s="157"/>
      <c r="E19" s="157"/>
      <c r="F19" s="157"/>
      <c r="G19" s="157"/>
      <c r="H19" s="157"/>
      <c r="I19" s="157"/>
    </row>
    <row r="20" spans="1:9" x14ac:dyDescent="0.25">
      <c r="A20" s="115"/>
      <c r="B20" s="158"/>
      <c r="C20" s="158"/>
      <c r="D20" s="158"/>
      <c r="E20" s="159"/>
      <c r="F20" s="159"/>
      <c r="G20" s="65"/>
      <c r="H20" s="161"/>
      <c r="I20" s="161"/>
    </row>
    <row r="21" spans="1:9" x14ac:dyDescent="0.25">
      <c r="A21" s="115"/>
      <c r="B21" s="160"/>
      <c r="C21" s="160"/>
      <c r="D21" s="160"/>
      <c r="E21" s="160"/>
      <c r="F21" s="160"/>
      <c r="G21" s="66"/>
      <c r="H21" s="67"/>
      <c r="I21" s="66"/>
    </row>
    <row r="22" spans="1:9" x14ac:dyDescent="0.25">
      <c r="A22" s="162"/>
      <c r="B22" s="162"/>
      <c r="C22" s="162"/>
      <c r="D22" s="162"/>
      <c r="E22" s="162"/>
      <c r="F22" s="162"/>
      <c r="G22" s="162"/>
      <c r="H22" s="162"/>
      <c r="I22" s="162"/>
    </row>
    <row r="23" spans="1:9" x14ac:dyDescent="0.25">
      <c r="A23" s="181"/>
      <c r="B23" s="181"/>
      <c r="C23" s="181"/>
      <c r="D23" s="181"/>
      <c r="E23" s="181"/>
      <c r="F23" s="181"/>
      <c r="G23" s="181"/>
      <c r="H23" s="181"/>
      <c r="I23" s="181"/>
    </row>
    <row r="24" spans="1:9" x14ac:dyDescent="0.25">
      <c r="A24" s="162"/>
      <c r="B24" s="162"/>
      <c r="C24" s="162"/>
      <c r="D24" s="162"/>
      <c r="E24" s="162"/>
      <c r="F24" s="162"/>
      <c r="G24" s="162"/>
      <c r="H24" s="162"/>
      <c r="I24" s="162"/>
    </row>
    <row r="25" spans="1:9" x14ac:dyDescent="0.25">
      <c r="A25" s="182"/>
      <c r="B25" s="182"/>
      <c r="C25" s="182"/>
      <c r="D25" s="182"/>
      <c r="E25" s="182"/>
      <c r="F25" s="182"/>
      <c r="G25" s="182"/>
      <c r="H25" s="182"/>
      <c r="I25" s="182"/>
    </row>
  </sheetData>
  <mergeCells count="18">
    <mergeCell ref="A1:I1"/>
    <mergeCell ref="A7:I7"/>
    <mergeCell ref="A8:I8"/>
    <mergeCell ref="A9:I9"/>
    <mergeCell ref="F10:G10"/>
    <mergeCell ref="A23:I23"/>
    <mergeCell ref="A24:I24"/>
    <mergeCell ref="A25:I25"/>
    <mergeCell ref="A22:I22"/>
    <mergeCell ref="B21:D21"/>
    <mergeCell ref="E21:F21"/>
    <mergeCell ref="A16:I16"/>
    <mergeCell ref="A17:I17"/>
    <mergeCell ref="A18:I18"/>
    <mergeCell ref="A19:I19"/>
    <mergeCell ref="B20:D20"/>
    <mergeCell ref="E20:F20"/>
    <mergeCell ref="H20:I20"/>
  </mergeCells>
  <pageMargins left="0.36" right="0.12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LIMP. </vt:lpstr>
      <vt:lpstr>OFC. </vt:lpstr>
      <vt:lpstr>IND.</vt:lpstr>
      <vt:lpstr>SALUD </vt:lpstr>
      <vt:lpstr>IND.!Área_de_impresión</vt:lpstr>
      <vt:lpstr>'LIMP. '!Área_de_impresión</vt:lpstr>
      <vt:lpstr>'OFC. '!Área_de_impresión</vt:lpstr>
      <vt:lpstr>'SALUD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Ivelisse Mateo Santiago</cp:lastModifiedBy>
  <cp:lastPrinted>2024-01-15T18:03:08Z</cp:lastPrinted>
  <dcterms:created xsi:type="dcterms:W3CDTF">2016-04-16T04:21:59Z</dcterms:created>
  <dcterms:modified xsi:type="dcterms:W3CDTF">2024-01-16T15:03:06Z</dcterms:modified>
</cp:coreProperties>
</file>