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468" windowWidth="20736" windowHeight="11760" tabRatio="874"/>
  </bookViews>
  <sheets>
    <sheet name="POA DIGESETT 2019" sheetId="45" r:id="rId1"/>
    <sheet name="Matriz de Necesidades" sheetId="31" state="hidden" r:id="rId2"/>
    <sheet name="Depart. Financiero" sheetId="44" state="hidden" r:id="rId3"/>
    <sheet name="2.7.3.1" sheetId="12" state="hidden" r:id="rId4"/>
    <sheet name="2.7.2.4 (a)" sheetId="33" state="hidden" r:id="rId5"/>
    <sheet name="2.7.2.4 (b)" sheetId="34" state="hidden" r:id="rId6"/>
    <sheet name="2.7.6.2" sheetId="41" state="hidden" r:id="rId7"/>
    <sheet name="Salud" sheetId="42" state="hidden" r:id="rId8"/>
    <sheet name="Tecnolgia" sheetId="39" state="hidden" r:id="rId9"/>
    <sheet name="CEMACO" sheetId="48" state="hidden" r:id="rId10"/>
    <sheet name="Telecomunicaciones" sheetId="47" state="hidden" r:id="rId11"/>
    <sheet name="Transportacion" sheetId="49" state="hidden" r:id="rId12"/>
    <sheet name="Mant. VEHICULOS" sheetId="51" state="hidden" r:id="rId13"/>
  </sheets>
  <definedNames>
    <definedName name="_xlnm.Print_Area" localSheetId="4">'2.7.2.4 (a)'!$A$1:$D$35</definedName>
    <definedName name="_xlnm.Print_Area" localSheetId="2">'Depart. Financiero'!$A$1:$D$36</definedName>
    <definedName name="_xlnm.Print_Area" localSheetId="12">'Mant. VEHICULOS'!$A$2:$K$279</definedName>
    <definedName name="_xlnm.Print_Area" localSheetId="1">'Matriz de Necesidades'!$A$1:$G$640</definedName>
    <definedName name="_xlnm.Print_Area" localSheetId="0">'POA DIGESETT 2019'!$A$1:$K$64</definedName>
    <definedName name="Print_Area" localSheetId="4">'2.7.2.4 (a)'!$A$1:$D$35</definedName>
    <definedName name="Print_Area" localSheetId="5">'2.7.2.4 (b)'!$A$1:$E$22</definedName>
    <definedName name="Print_Area" localSheetId="1">'Matriz de Necesidades'!$A$1:$G$640</definedName>
    <definedName name="Print_Area" localSheetId="0">'POA DIGESETT 2019'!$A$1:$K$64</definedName>
    <definedName name="Print_Titles" localSheetId="5">'2.7.2.4 (b)'!$1:$5</definedName>
    <definedName name="Print_Titles" localSheetId="1">'Matriz de Necesidades'!$1:$8</definedName>
    <definedName name="Print_Titles" localSheetId="0">'POA DIGESETT 2019'!$1:$7</definedName>
    <definedName name="_xlnm.Print_Titles" localSheetId="1">'Matriz de Necesidades'!$1:$8</definedName>
    <definedName name="_xlnm.Print_Titles" localSheetId="0">'POA DIGESETT 2019'!$1:$12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4" i="45" l="1"/>
  <c r="D600" i="31"/>
  <c r="H53" i="45"/>
  <c r="H27" i="45"/>
  <c r="D599" i="31"/>
  <c r="D598" i="31"/>
  <c r="D640" i="31"/>
  <c r="D32" i="44"/>
  <c r="D423" i="31"/>
  <c r="C89" i="42"/>
  <c r="B14" i="31"/>
  <c r="D257" i="31"/>
  <c r="C257" i="31"/>
  <c r="D636" i="31"/>
  <c r="D609" i="31"/>
  <c r="D519" i="31"/>
  <c r="D512" i="31"/>
  <c r="D474" i="31"/>
  <c r="D14" i="31"/>
  <c r="D10" i="31"/>
  <c r="D223" i="31"/>
  <c r="D195" i="31"/>
  <c r="D12" i="31"/>
  <c r="D13" i="31"/>
  <c r="D15" i="31"/>
  <c r="D16" i="31"/>
  <c r="D17" i="31"/>
  <c r="D11" i="31"/>
  <c r="D331" i="31"/>
  <c r="D330" i="31"/>
  <c r="D277" i="31"/>
  <c r="D278" i="31"/>
  <c r="D279" i="31"/>
  <c r="D280" i="31"/>
  <c r="D637" i="31"/>
  <c r="D613" i="31"/>
  <c r="C577" i="31"/>
  <c r="D577" i="31"/>
  <c r="D578" i="31"/>
  <c r="C579" i="31"/>
  <c r="D579" i="31"/>
  <c r="C580" i="31"/>
  <c r="D580" i="31"/>
  <c r="D581" i="31"/>
  <c r="D582" i="31"/>
  <c r="D583" i="31"/>
  <c r="D584" i="31"/>
  <c r="D585" i="31"/>
  <c r="D586" i="31"/>
  <c r="C587" i="31"/>
  <c r="D587" i="31"/>
  <c r="D588" i="31"/>
  <c r="D589" i="31"/>
  <c r="D590" i="31"/>
  <c r="D591" i="31"/>
  <c r="D592" i="31"/>
  <c r="D593" i="31"/>
  <c r="D594" i="31"/>
  <c r="D595" i="31"/>
  <c r="D596" i="31"/>
  <c r="D597" i="31"/>
  <c r="D576" i="31"/>
  <c r="C524" i="31"/>
  <c r="C523" i="31"/>
  <c r="C90" i="42"/>
  <c r="C87" i="42"/>
  <c r="C86" i="42"/>
  <c r="C85" i="42"/>
  <c r="B258" i="31"/>
  <c r="D258" i="31"/>
  <c r="D260" i="31"/>
  <c r="J324" i="51"/>
  <c r="J27" i="51"/>
  <c r="J28" i="51"/>
  <c r="J29" i="51"/>
  <c r="J30" i="51"/>
  <c r="J36" i="51"/>
  <c r="J44" i="51"/>
  <c r="J45" i="51"/>
  <c r="J55" i="51"/>
  <c r="J56" i="51"/>
  <c r="J57" i="51"/>
  <c r="J58" i="51"/>
  <c r="J65" i="51"/>
  <c r="H120" i="51"/>
  <c r="H121" i="51"/>
  <c r="H122" i="51"/>
  <c r="H123" i="51"/>
  <c r="H124" i="51"/>
  <c r="H125" i="51"/>
  <c r="H126" i="51"/>
  <c r="H127" i="51"/>
  <c r="H128" i="51"/>
  <c r="H129" i="51"/>
  <c r="H137" i="51"/>
  <c r="H138" i="51"/>
  <c r="H139" i="51"/>
  <c r="H140" i="51"/>
  <c r="H141" i="51"/>
  <c r="H142" i="51"/>
  <c r="I174" i="51"/>
  <c r="H174" i="51"/>
  <c r="H173" i="51"/>
  <c r="J245" i="51"/>
  <c r="J220" i="51"/>
  <c r="J221" i="51"/>
  <c r="J222" i="51"/>
  <c r="J223" i="51"/>
  <c r="J224" i="51"/>
  <c r="J225" i="51"/>
  <c r="J226" i="51"/>
  <c r="J227" i="51"/>
  <c r="J228" i="51"/>
  <c r="J229" i="51"/>
  <c r="J230" i="51"/>
  <c r="J231" i="51"/>
  <c r="J232" i="51"/>
  <c r="J233" i="51"/>
  <c r="J234" i="51"/>
  <c r="J235" i="51"/>
  <c r="J236" i="51"/>
  <c r="J237" i="51"/>
  <c r="J238" i="51"/>
  <c r="H322" i="51"/>
  <c r="J278" i="51"/>
  <c r="J253" i="51"/>
  <c r="J254" i="51"/>
  <c r="J255" i="51"/>
  <c r="J256" i="51"/>
  <c r="J257" i="51"/>
  <c r="J258" i="51"/>
  <c r="J259" i="51"/>
  <c r="J260" i="51"/>
  <c r="J261" i="51"/>
  <c r="J262" i="51"/>
  <c r="J263" i="51"/>
  <c r="J264" i="51"/>
  <c r="J265" i="51"/>
  <c r="J266" i="51"/>
  <c r="J267" i="51"/>
  <c r="J268" i="51"/>
  <c r="J269" i="51"/>
  <c r="J270" i="51"/>
  <c r="J271" i="51"/>
  <c r="J272" i="51"/>
  <c r="J273" i="51"/>
  <c r="J274" i="51"/>
  <c r="J275" i="51"/>
  <c r="J276" i="51"/>
  <c r="H284" i="51"/>
  <c r="H285" i="51"/>
  <c r="H286" i="51"/>
  <c r="H287" i="51"/>
  <c r="H288" i="51"/>
  <c r="H289" i="51"/>
  <c r="H290" i="51"/>
  <c r="H291" i="51"/>
  <c r="H292" i="51"/>
  <c r="H293" i="51"/>
  <c r="H294" i="51"/>
  <c r="H295" i="51"/>
  <c r="H296" i="51"/>
  <c r="H297" i="51"/>
  <c r="H298" i="51"/>
  <c r="H299" i="51"/>
  <c r="H300" i="51"/>
  <c r="H301" i="51"/>
  <c r="H302" i="51"/>
  <c r="H303" i="51"/>
  <c r="H304" i="51"/>
  <c r="H305" i="51"/>
  <c r="H306" i="51"/>
  <c r="H307" i="51"/>
  <c r="H308" i="51"/>
  <c r="H309" i="51"/>
  <c r="H310" i="51"/>
  <c r="H311" i="51"/>
  <c r="H312" i="51"/>
  <c r="H313" i="51"/>
  <c r="H314" i="51"/>
  <c r="H315" i="51"/>
  <c r="H316" i="51"/>
  <c r="H317" i="51"/>
  <c r="H318" i="51"/>
  <c r="H319" i="51"/>
  <c r="J19" i="51"/>
  <c r="J18" i="51"/>
  <c r="H321" i="51"/>
  <c r="H283" i="51"/>
  <c r="J252" i="51"/>
  <c r="G273" i="51"/>
  <c r="J219" i="51"/>
  <c r="J240" i="51"/>
  <c r="G240" i="51"/>
  <c r="H166" i="51"/>
  <c r="H152" i="51"/>
  <c r="H153" i="51"/>
  <c r="H154" i="51"/>
  <c r="H136" i="51"/>
  <c r="H143" i="51"/>
  <c r="J168" i="51"/>
  <c r="I166" i="51"/>
  <c r="I160" i="51"/>
  <c r="I154" i="51"/>
  <c r="I143" i="51"/>
  <c r="H119" i="51"/>
  <c r="H130" i="51"/>
  <c r="I130" i="51"/>
  <c r="J9" i="51"/>
  <c r="J10" i="51"/>
  <c r="J11" i="51"/>
  <c r="J12" i="51"/>
  <c r="J13" i="51"/>
  <c r="J14" i="51"/>
  <c r="J15" i="51"/>
  <c r="J16" i="51"/>
  <c r="J17" i="51"/>
  <c r="J20" i="51"/>
  <c r="J26" i="51"/>
  <c r="J31" i="51"/>
  <c r="J37" i="51"/>
  <c r="J42" i="51"/>
  <c r="J43" i="51"/>
  <c r="J46" i="51"/>
  <c r="J52" i="51"/>
  <c r="J53" i="51"/>
  <c r="J54" i="51"/>
  <c r="J59" i="51"/>
  <c r="J64" i="51"/>
  <c r="J66" i="51"/>
  <c r="I92" i="51"/>
  <c r="J92" i="51"/>
  <c r="J84" i="51"/>
  <c r="J85" i="51"/>
  <c r="G85" i="51"/>
  <c r="J71" i="51"/>
  <c r="J72" i="51"/>
  <c r="J79" i="51"/>
  <c r="J74" i="51"/>
  <c r="G74" i="51"/>
  <c r="G66" i="51"/>
  <c r="G59" i="51"/>
  <c r="G46" i="51"/>
  <c r="G37" i="51"/>
  <c r="G31" i="51"/>
  <c r="G20" i="51"/>
  <c r="D15" i="49"/>
  <c r="D4" i="49"/>
  <c r="D5" i="49"/>
  <c r="D6" i="49"/>
  <c r="D7" i="49"/>
  <c r="D8" i="49"/>
  <c r="D9" i="49"/>
  <c r="D10" i="49"/>
  <c r="D11" i="49"/>
  <c r="D12" i="49"/>
  <c r="D13" i="49"/>
  <c r="D14" i="49"/>
  <c r="D3" i="49"/>
  <c r="D524" i="31"/>
  <c r="D525" i="31"/>
  <c r="D526" i="31"/>
  <c r="D527" i="31"/>
  <c r="D528" i="31"/>
  <c r="D529" i="31"/>
  <c r="D530" i="31"/>
  <c r="D531" i="31"/>
  <c r="D532" i="31"/>
  <c r="D533" i="31"/>
  <c r="D534" i="31"/>
  <c r="D535" i="31"/>
  <c r="D536" i="31"/>
  <c r="D537" i="31"/>
  <c r="D538" i="31"/>
  <c r="D539" i="31"/>
  <c r="D540" i="31"/>
  <c r="D541" i="31"/>
  <c r="D542" i="31"/>
  <c r="D543" i="31"/>
  <c r="D544" i="31"/>
  <c r="D546" i="31"/>
  <c r="D547" i="31"/>
  <c r="D548" i="31"/>
  <c r="D549" i="31"/>
  <c r="D550" i="31"/>
  <c r="D551" i="31"/>
  <c r="D552" i="31"/>
  <c r="D553" i="31"/>
  <c r="D554" i="31"/>
  <c r="D555" i="31"/>
  <c r="D556" i="31"/>
  <c r="D557" i="31"/>
  <c r="D558" i="31"/>
  <c r="D559" i="31"/>
  <c r="D560" i="31"/>
  <c r="D561" i="31"/>
  <c r="D562" i="31"/>
  <c r="D563" i="31"/>
  <c r="D564" i="31"/>
  <c r="D565" i="31"/>
  <c r="D566" i="31"/>
  <c r="D567" i="31"/>
  <c r="D523" i="31"/>
  <c r="D422" i="31"/>
  <c r="C512" i="31"/>
  <c r="C511" i="31"/>
  <c r="D511" i="31"/>
  <c r="D569" i="31"/>
  <c r="C20" i="42"/>
  <c r="C24" i="42"/>
  <c r="C25" i="42"/>
  <c r="B257" i="31"/>
  <c r="D259" i="31"/>
  <c r="D15" i="47"/>
  <c r="D16" i="47"/>
  <c r="D22" i="47"/>
  <c r="D26" i="47"/>
  <c r="D33" i="47"/>
  <c r="D32" i="47"/>
  <c r="D6" i="47"/>
  <c r="D7" i="47"/>
  <c r="D8" i="47"/>
  <c r="D9" i="47"/>
  <c r="D10" i="47"/>
  <c r="D11" i="47"/>
  <c r="D12" i="47"/>
  <c r="D13" i="47"/>
  <c r="D14" i="47"/>
  <c r="D17" i="47"/>
  <c r="D18" i="47"/>
  <c r="D19" i="47"/>
  <c r="D20" i="47"/>
  <c r="D21" i="47"/>
  <c r="D23" i="47"/>
  <c r="D24" i="47"/>
  <c r="D25" i="47"/>
  <c r="D27" i="47"/>
  <c r="D28" i="47"/>
  <c r="D29" i="47"/>
  <c r="D30" i="47"/>
  <c r="D31" i="47"/>
  <c r="D5" i="47"/>
  <c r="D451" i="31"/>
  <c r="D452" i="31"/>
  <c r="D453" i="31"/>
  <c r="B236" i="31"/>
  <c r="B228" i="31"/>
  <c r="D468" i="31"/>
  <c r="D467" i="31"/>
  <c r="C6" i="41"/>
  <c r="D33" i="33"/>
  <c r="D209" i="31"/>
  <c r="D148" i="31"/>
  <c r="D19" i="39"/>
  <c r="D20" i="39"/>
  <c r="C202" i="31"/>
  <c r="D5" i="39"/>
  <c r="D6" i="39"/>
  <c r="D7" i="39"/>
  <c r="D8" i="39"/>
  <c r="D9" i="39"/>
  <c r="D10" i="39"/>
  <c r="D11" i="39"/>
  <c r="D12" i="39"/>
  <c r="D13" i="39"/>
  <c r="D14" i="39"/>
  <c r="D15" i="39"/>
  <c r="D16" i="39"/>
  <c r="D17" i="39"/>
  <c r="D18" i="39"/>
  <c r="D4" i="39"/>
  <c r="C195" i="31"/>
  <c r="B246" i="31"/>
  <c r="B244" i="31"/>
  <c r="B227" i="31"/>
  <c r="D227" i="31"/>
  <c r="C614" i="31"/>
  <c r="D608" i="31"/>
  <c r="D602" i="31"/>
  <c r="D603" i="31"/>
  <c r="D604" i="31"/>
  <c r="D606" i="31"/>
  <c r="D607" i="31"/>
  <c r="D601" i="31"/>
  <c r="D605" i="31"/>
  <c r="G10" i="41"/>
  <c r="D521" i="31"/>
  <c r="D518" i="31"/>
  <c r="C477" i="31"/>
  <c r="D477" i="31"/>
  <c r="D479" i="31"/>
  <c r="D480" i="31"/>
  <c r="D481" i="31"/>
  <c r="D482" i="31"/>
  <c r="D483" i="31"/>
  <c r="D484" i="31"/>
  <c r="D485" i="31"/>
  <c r="D486" i="31"/>
  <c r="D487" i="31"/>
  <c r="D488" i="31"/>
  <c r="D489" i="31"/>
  <c r="D490" i="31"/>
  <c r="D491" i="31"/>
  <c r="D492" i="31"/>
  <c r="D493" i="31"/>
  <c r="D494" i="31"/>
  <c r="D495" i="31"/>
  <c r="D496" i="31"/>
  <c r="D497" i="31"/>
  <c r="D478" i="31"/>
  <c r="D475" i="31"/>
  <c r="C510" i="31"/>
  <c r="D510" i="31"/>
  <c r="D509" i="31"/>
  <c r="C501" i="31"/>
  <c r="D501" i="31"/>
  <c r="C502" i="31"/>
  <c r="D502" i="31"/>
  <c r="D500" i="31"/>
  <c r="C504" i="31"/>
  <c r="D504" i="31"/>
  <c r="C505" i="31"/>
  <c r="D505" i="31"/>
  <c r="C506" i="31"/>
  <c r="D506" i="31"/>
  <c r="C507" i="31"/>
  <c r="D507" i="31"/>
  <c r="C508" i="31"/>
  <c r="D508" i="31"/>
  <c r="D503" i="31"/>
  <c r="D499" i="31"/>
  <c r="E10" i="12"/>
  <c r="E22" i="12"/>
  <c r="E19" i="12"/>
  <c r="E21" i="12"/>
  <c r="C34" i="33"/>
  <c r="C32" i="33"/>
  <c r="C31" i="33"/>
  <c r="C30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4" i="33"/>
  <c r="C29" i="33"/>
  <c r="D32" i="33"/>
  <c r="D15" i="34"/>
  <c r="D420" i="31"/>
  <c r="D340" i="31"/>
  <c r="D334" i="31"/>
  <c r="D292" i="31"/>
  <c r="D262" i="31"/>
  <c r="B256" i="31"/>
  <c r="B250" i="31"/>
  <c r="B248" i="31"/>
  <c r="B245" i="31"/>
  <c r="B242" i="31"/>
  <c r="B241" i="31"/>
  <c r="B240" i="31"/>
  <c r="B239" i="31"/>
  <c r="B238" i="31"/>
  <c r="B237" i="31"/>
  <c r="B235" i="31"/>
  <c r="B234" i="31"/>
  <c r="B232" i="31"/>
  <c r="B231" i="31"/>
  <c r="B230" i="31"/>
  <c r="B229" i="31"/>
  <c r="B226" i="31"/>
  <c r="B225" i="31"/>
  <c r="D141" i="31"/>
  <c r="C55" i="31"/>
  <c r="B13" i="31"/>
  <c r="B12" i="31"/>
  <c r="D21" i="31"/>
  <c r="D22" i="31"/>
  <c r="D23" i="31"/>
  <c r="D24" i="31"/>
  <c r="D25" i="31"/>
  <c r="D26" i="31"/>
  <c r="D27" i="31"/>
  <c r="D28" i="31"/>
  <c r="D29" i="31"/>
  <c r="D30" i="31"/>
  <c r="D31" i="31"/>
  <c r="D32" i="31"/>
  <c r="D33" i="31"/>
  <c r="D34" i="31"/>
  <c r="D35" i="31"/>
  <c r="D36" i="31"/>
  <c r="D37" i="31"/>
  <c r="D38" i="31"/>
  <c r="D39" i="31"/>
  <c r="D40" i="31"/>
  <c r="D41" i="31"/>
  <c r="D42" i="31"/>
  <c r="D43" i="31"/>
  <c r="D44" i="31"/>
  <c r="D45" i="31"/>
  <c r="D46" i="31"/>
  <c r="D47" i="31"/>
  <c r="D48" i="31"/>
  <c r="D49" i="31"/>
  <c r="D50" i="31"/>
  <c r="D51" i="31"/>
  <c r="D52" i="31"/>
  <c r="D53" i="31"/>
  <c r="D20" i="31"/>
  <c r="D55" i="31"/>
  <c r="D56" i="31"/>
  <c r="D58" i="31"/>
  <c r="D59" i="31"/>
  <c r="D60" i="31"/>
  <c r="D61" i="31"/>
  <c r="D62" i="31"/>
  <c r="B63" i="31"/>
  <c r="D63" i="31"/>
  <c r="D64" i="31"/>
  <c r="D65" i="31"/>
  <c r="D66" i="31"/>
  <c r="D67" i="31"/>
  <c r="D68" i="31"/>
  <c r="D69" i="31"/>
  <c r="D70" i="31"/>
  <c r="D71" i="31"/>
  <c r="D72" i="31"/>
  <c r="D73" i="31"/>
  <c r="D74" i="31"/>
  <c r="D75" i="31"/>
  <c r="D76" i="31"/>
  <c r="D77" i="31"/>
  <c r="D57" i="31"/>
  <c r="D79" i="31"/>
  <c r="D80" i="31"/>
  <c r="D81" i="31"/>
  <c r="D82" i="31"/>
  <c r="D83" i="31"/>
  <c r="D84" i="31"/>
  <c r="D85" i="31"/>
  <c r="D86" i="31"/>
  <c r="D87" i="31"/>
  <c r="D88" i="31"/>
  <c r="D78" i="31"/>
  <c r="B90" i="31"/>
  <c r="D90" i="31"/>
  <c r="D91" i="31"/>
  <c r="B92" i="31"/>
  <c r="D92" i="31"/>
  <c r="B93" i="31"/>
  <c r="D93" i="31"/>
  <c r="B94" i="31"/>
  <c r="D94" i="31"/>
  <c r="D95" i="31"/>
  <c r="D96" i="31"/>
  <c r="B97" i="31"/>
  <c r="D97" i="31"/>
  <c r="B98" i="31"/>
  <c r="D98" i="31"/>
  <c r="B99" i="31"/>
  <c r="D99" i="31"/>
  <c r="D100" i="31"/>
  <c r="B101" i="31"/>
  <c r="D101" i="31"/>
  <c r="B102" i="31"/>
  <c r="D102" i="31"/>
  <c r="D103" i="31"/>
  <c r="B104" i="31"/>
  <c r="D104" i="31"/>
  <c r="D105" i="31"/>
  <c r="D106" i="31"/>
  <c r="D107" i="31"/>
  <c r="D108" i="31"/>
  <c r="D89" i="31"/>
  <c r="D110" i="31"/>
  <c r="B111" i="31"/>
  <c r="D111" i="31"/>
  <c r="D112" i="31"/>
  <c r="B113" i="31"/>
  <c r="D113" i="31"/>
  <c r="B114" i="31"/>
  <c r="D114" i="31"/>
  <c r="B115" i="31"/>
  <c r="D115" i="31"/>
  <c r="D116" i="31"/>
  <c r="B117" i="31"/>
  <c r="D117" i="31"/>
  <c r="B118" i="31"/>
  <c r="D118" i="31"/>
  <c r="D119" i="31"/>
  <c r="B120" i="31"/>
  <c r="D120" i="31"/>
  <c r="B121" i="31"/>
  <c r="D121" i="31"/>
  <c r="B122" i="31"/>
  <c r="D122" i="31"/>
  <c r="B123" i="31"/>
  <c r="D123" i="31"/>
  <c r="D124" i="31"/>
  <c r="D125" i="31"/>
  <c r="D126" i="31"/>
  <c r="D127" i="31"/>
  <c r="B128" i="31"/>
  <c r="D128" i="31"/>
  <c r="D109" i="31"/>
  <c r="D130" i="31"/>
  <c r="D131" i="31"/>
  <c r="D132" i="31"/>
  <c r="D133" i="31"/>
  <c r="D134" i="31"/>
  <c r="D129" i="31"/>
  <c r="D54" i="31"/>
  <c r="D19" i="31"/>
  <c r="E42" i="12"/>
  <c r="E24" i="12"/>
  <c r="H38" i="45"/>
  <c r="D612" i="31"/>
  <c r="D614" i="31"/>
  <c r="D615" i="31"/>
  <c r="D616" i="31"/>
  <c r="D617" i="31"/>
  <c r="D618" i="31"/>
  <c r="D619" i="31"/>
  <c r="D620" i="31"/>
  <c r="D621" i="31"/>
  <c r="D622" i="31"/>
  <c r="D623" i="31"/>
  <c r="D624" i="31"/>
  <c r="D625" i="31"/>
  <c r="D626" i="31"/>
  <c r="D627" i="31"/>
  <c r="D628" i="31"/>
  <c r="D629" i="31"/>
  <c r="D630" i="31"/>
  <c r="D631" i="31"/>
  <c r="D632" i="31"/>
  <c r="D633" i="31"/>
  <c r="D634" i="31"/>
  <c r="D635" i="31"/>
  <c r="D611" i="31"/>
  <c r="D610" i="31"/>
  <c r="H59" i="45"/>
  <c r="H55" i="45"/>
  <c r="F6" i="41"/>
  <c r="G6" i="41"/>
  <c r="C7" i="41"/>
  <c r="F7" i="41"/>
  <c r="G7" i="41"/>
  <c r="C8" i="41"/>
  <c r="F8" i="41"/>
  <c r="G8" i="41"/>
  <c r="F9" i="41"/>
  <c r="G9" i="41"/>
  <c r="C11" i="41"/>
  <c r="G11" i="41"/>
  <c r="F12" i="41"/>
  <c r="G12" i="41"/>
  <c r="G13" i="41"/>
  <c r="D574" i="31"/>
  <c r="D520" i="31"/>
  <c r="H47" i="45"/>
  <c r="C39" i="12"/>
  <c r="E43" i="12"/>
  <c r="H42" i="45"/>
  <c r="D136" i="31"/>
  <c r="D140" i="31"/>
  <c r="D142" i="31"/>
  <c r="D143" i="31"/>
  <c r="D144" i="31"/>
  <c r="D145" i="31"/>
  <c r="D146" i="31"/>
  <c r="D147" i="31"/>
  <c r="B149" i="31"/>
  <c r="D149" i="31"/>
  <c r="D150" i="31"/>
  <c r="D151" i="31"/>
  <c r="D152" i="31"/>
  <c r="D153" i="31"/>
  <c r="D154" i="31"/>
  <c r="D155" i="31"/>
  <c r="D156" i="31"/>
  <c r="D157" i="31"/>
  <c r="D158" i="31"/>
  <c r="D159" i="31"/>
  <c r="D160" i="31"/>
  <c r="D161" i="31"/>
  <c r="D162" i="31"/>
  <c r="D163" i="31"/>
  <c r="D164" i="31"/>
  <c r="D165" i="31"/>
  <c r="D166" i="31"/>
  <c r="D167" i="31"/>
  <c r="D168" i="31"/>
  <c r="D169" i="31"/>
  <c r="D170" i="31"/>
  <c r="D171" i="31"/>
  <c r="D172" i="31"/>
  <c r="D173" i="31"/>
  <c r="B174" i="31"/>
  <c r="D174" i="31"/>
  <c r="D175" i="31"/>
  <c r="D176" i="31"/>
  <c r="D177" i="31"/>
  <c r="B178" i="31"/>
  <c r="D178" i="31"/>
  <c r="D179" i="31"/>
  <c r="D180" i="31"/>
  <c r="D181" i="31"/>
  <c r="D182" i="31"/>
  <c r="D183" i="31"/>
  <c r="B184" i="31"/>
  <c r="D184" i="31"/>
  <c r="D185" i="31"/>
  <c r="D186" i="31"/>
  <c r="D187" i="31"/>
  <c r="C188" i="31"/>
  <c r="D188" i="31"/>
  <c r="D189" i="31"/>
  <c r="D190" i="31"/>
  <c r="D191" i="31"/>
  <c r="D192" i="31"/>
  <c r="D193" i="31"/>
  <c r="D194" i="31"/>
  <c r="D139" i="31"/>
  <c r="B197" i="31"/>
  <c r="D197" i="31"/>
  <c r="D198" i="31"/>
  <c r="D199" i="31"/>
  <c r="D200" i="31"/>
  <c r="D196" i="31"/>
  <c r="D204" i="31"/>
  <c r="D205" i="31"/>
  <c r="D206" i="31"/>
  <c r="D207" i="31"/>
  <c r="D208" i="31"/>
  <c r="D210" i="31"/>
  <c r="D211" i="31"/>
  <c r="D212" i="31"/>
  <c r="D213" i="31"/>
  <c r="D214" i="31"/>
  <c r="D215" i="31"/>
  <c r="D216" i="31"/>
  <c r="D217" i="31"/>
  <c r="D218" i="31"/>
  <c r="D219" i="31"/>
  <c r="D220" i="31"/>
  <c r="D221" i="31"/>
  <c r="D222" i="31"/>
  <c r="D203" i="31"/>
  <c r="D202" i="31"/>
  <c r="D201" i="31"/>
  <c r="D138" i="31"/>
  <c r="D225" i="31"/>
  <c r="D226" i="31"/>
  <c r="D229" i="31"/>
  <c r="D230" i="31"/>
  <c r="D231" i="31"/>
  <c r="D232" i="31"/>
  <c r="D233" i="31"/>
  <c r="D234" i="31"/>
  <c r="D235" i="31"/>
  <c r="D236" i="31"/>
  <c r="D237" i="31"/>
  <c r="D228" i="31"/>
  <c r="D238" i="31"/>
  <c r="D239" i="31"/>
  <c r="D240" i="31"/>
  <c r="D241" i="31"/>
  <c r="D242" i="31"/>
  <c r="D243" i="31"/>
  <c r="D244" i="31"/>
  <c r="D245" i="31"/>
  <c r="D246" i="31"/>
  <c r="D247" i="31"/>
  <c r="D248" i="31"/>
  <c r="D249" i="31"/>
  <c r="D250" i="31"/>
  <c r="D251" i="31"/>
  <c r="D252" i="31"/>
  <c r="D253" i="31"/>
  <c r="D255" i="31"/>
  <c r="D256" i="31"/>
  <c r="D224" i="31"/>
  <c r="D263" i="31"/>
  <c r="D264" i="31"/>
  <c r="D265" i="31"/>
  <c r="D261" i="31"/>
  <c r="D267" i="31"/>
  <c r="D268" i="31"/>
  <c r="D269" i="31"/>
  <c r="D270" i="31"/>
  <c r="D271" i="31"/>
  <c r="D272" i="31"/>
  <c r="D273" i="31"/>
  <c r="D274" i="31"/>
  <c r="D275" i="31"/>
  <c r="D276" i="31"/>
  <c r="D266" i="31"/>
  <c r="D282" i="31"/>
  <c r="D283" i="31"/>
  <c r="D284" i="31"/>
  <c r="D285" i="31"/>
  <c r="D286" i="31"/>
  <c r="D287" i="31"/>
  <c r="D288" i="31"/>
  <c r="D289" i="31"/>
  <c r="D290" i="31"/>
  <c r="D291" i="31"/>
  <c r="D293" i="31"/>
  <c r="D294" i="31"/>
  <c r="D295" i="31"/>
  <c r="D296" i="31"/>
  <c r="D297" i="31"/>
  <c r="D298" i="31"/>
  <c r="D299" i="31"/>
  <c r="D300" i="31"/>
  <c r="D301" i="31"/>
  <c r="D302" i="31"/>
  <c r="D303" i="31"/>
  <c r="D304" i="31"/>
  <c r="D305" i="31"/>
  <c r="D306" i="31"/>
  <c r="D307" i="31"/>
  <c r="D308" i="31"/>
  <c r="D309" i="31"/>
  <c r="D310" i="31"/>
  <c r="D311" i="31"/>
  <c r="D312" i="31"/>
  <c r="D313" i="31"/>
  <c r="D314" i="31"/>
  <c r="D315" i="31"/>
  <c r="D316" i="31"/>
  <c r="D317" i="31"/>
  <c r="D318" i="31"/>
  <c r="D319" i="31"/>
  <c r="D320" i="31"/>
  <c r="D321" i="31"/>
  <c r="D322" i="31"/>
  <c r="D323" i="31"/>
  <c r="D324" i="31"/>
  <c r="D325" i="31"/>
  <c r="D326" i="31"/>
  <c r="D327" i="31"/>
  <c r="D328" i="31"/>
  <c r="D329" i="31"/>
  <c r="D332" i="31"/>
  <c r="D333" i="31"/>
  <c r="D335" i="31"/>
  <c r="D336" i="31"/>
  <c r="D337" i="31"/>
  <c r="D338" i="31"/>
  <c r="D339" i="31"/>
  <c r="D341" i="31"/>
  <c r="D342" i="31"/>
  <c r="D343" i="31"/>
  <c r="D344" i="31"/>
  <c r="D345" i="31"/>
  <c r="D346" i="31"/>
  <c r="D347" i="31"/>
  <c r="D348" i="31"/>
  <c r="D349" i="31"/>
  <c r="D350" i="31"/>
  <c r="D351" i="31"/>
  <c r="D352" i="31"/>
  <c r="D353" i="31"/>
  <c r="D354" i="31"/>
  <c r="D355" i="31"/>
  <c r="D356" i="31"/>
  <c r="D357" i="31"/>
  <c r="D358" i="31"/>
  <c r="D359" i="31"/>
  <c r="D360" i="31"/>
  <c r="D361" i="31"/>
  <c r="D362" i="31"/>
  <c r="D363" i="31"/>
  <c r="D364" i="31"/>
  <c r="D365" i="31"/>
  <c r="D366" i="31"/>
  <c r="D367" i="31"/>
  <c r="D368" i="31"/>
  <c r="D369" i="31"/>
  <c r="D370" i="31"/>
  <c r="D371" i="31"/>
  <c r="D372" i="31"/>
  <c r="D373" i="31"/>
  <c r="D374" i="31"/>
  <c r="D281" i="31"/>
  <c r="D376" i="31"/>
  <c r="D377" i="31"/>
  <c r="D378" i="31"/>
  <c r="D379" i="31"/>
  <c r="D380" i="31"/>
  <c r="D381" i="31"/>
  <c r="D382" i="31"/>
  <c r="D383" i="31"/>
  <c r="D384" i="31"/>
  <c r="D385" i="31"/>
  <c r="D386" i="31"/>
  <c r="D387" i="31"/>
  <c r="D388" i="31"/>
  <c r="D389" i="31"/>
  <c r="D390" i="31"/>
  <c r="D391" i="31"/>
  <c r="D392" i="31"/>
  <c r="D393" i="31"/>
  <c r="D394" i="31"/>
  <c r="D395" i="31"/>
  <c r="D396" i="31"/>
  <c r="D397" i="31"/>
  <c r="D398" i="31"/>
  <c r="D399" i="31"/>
  <c r="D400" i="31"/>
  <c r="D401" i="31"/>
  <c r="D402" i="31"/>
  <c r="D403" i="31"/>
  <c r="D404" i="31"/>
  <c r="D405" i="31"/>
  <c r="D406" i="31"/>
  <c r="D407" i="31"/>
  <c r="D408" i="31"/>
  <c r="D409" i="31"/>
  <c r="D410" i="31"/>
  <c r="D411" i="31"/>
  <c r="D412" i="31"/>
  <c r="D413" i="31"/>
  <c r="D414" i="31"/>
  <c r="D415" i="31"/>
  <c r="D416" i="31"/>
  <c r="D417" i="31"/>
  <c r="D418" i="31"/>
  <c r="D419" i="31"/>
  <c r="D421" i="31"/>
  <c r="D375" i="31"/>
  <c r="D426" i="31"/>
  <c r="D427" i="31"/>
  <c r="D428" i="31"/>
  <c r="D429" i="31"/>
  <c r="D430" i="31"/>
  <c r="D431" i="31"/>
  <c r="D432" i="31"/>
  <c r="D433" i="31"/>
  <c r="D434" i="31"/>
  <c r="D435" i="31"/>
  <c r="D436" i="31"/>
  <c r="D437" i="31"/>
  <c r="D438" i="31"/>
  <c r="D439" i="31"/>
  <c r="D440" i="31"/>
  <c r="D441" i="31"/>
  <c r="D442" i="31"/>
  <c r="D443" i="31"/>
  <c r="D444" i="31"/>
  <c r="D445" i="31"/>
  <c r="D446" i="31"/>
  <c r="D447" i="31"/>
  <c r="D448" i="31"/>
  <c r="D449" i="31"/>
  <c r="D450" i="31"/>
  <c r="D454" i="31"/>
  <c r="D455" i="31"/>
  <c r="D456" i="31"/>
  <c r="D457" i="31"/>
  <c r="D458" i="31"/>
  <c r="D459" i="31"/>
  <c r="D460" i="31"/>
  <c r="D461" i="31"/>
  <c r="D462" i="31"/>
  <c r="D463" i="31"/>
  <c r="D464" i="31"/>
  <c r="D465" i="31"/>
  <c r="D466" i="31"/>
  <c r="D425" i="31"/>
  <c r="D4" i="33"/>
  <c r="D5" i="33"/>
  <c r="D6" i="33"/>
  <c r="D7" i="33"/>
  <c r="D8" i="33"/>
  <c r="D9" i="33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B31" i="33"/>
  <c r="D31" i="33"/>
  <c r="D34" i="33"/>
  <c r="D35" i="33"/>
  <c r="C470" i="31"/>
  <c r="D470" i="31"/>
  <c r="D7" i="34"/>
  <c r="D9" i="34"/>
  <c r="D10" i="34"/>
  <c r="D11" i="34"/>
  <c r="D12" i="34"/>
  <c r="D14" i="34"/>
  <c r="D16" i="34"/>
  <c r="D17" i="34"/>
  <c r="D18" i="34"/>
  <c r="D19" i="34"/>
  <c r="D20" i="34"/>
  <c r="D21" i="34"/>
  <c r="D22" i="34"/>
  <c r="C471" i="31"/>
  <c r="D471" i="31"/>
  <c r="D469" i="31"/>
  <c r="D424" i="31"/>
  <c r="E31" i="44"/>
  <c r="C473" i="31"/>
  <c r="D473" i="31"/>
  <c r="D472" i="31"/>
  <c r="D135" i="31"/>
  <c r="H31" i="45"/>
  <c r="E32" i="12"/>
  <c r="D36" i="44"/>
  <c r="F16" i="44"/>
  <c r="D648" i="31"/>
  <c r="K22" i="45"/>
  <c r="M22" i="45"/>
  <c r="K20" i="45"/>
  <c r="M20" i="45"/>
  <c r="K19" i="45"/>
  <c r="M19" i="45"/>
  <c r="K18" i="45"/>
  <c r="M18" i="45"/>
  <c r="K17" i="45"/>
  <c r="M17" i="45"/>
  <c r="K16" i="45"/>
  <c r="M16" i="45"/>
  <c r="D9" i="31"/>
  <c r="F650" i="31"/>
</calcChain>
</file>

<file path=xl/sharedStrings.xml><?xml version="1.0" encoding="utf-8"?>
<sst xmlns="http://schemas.openxmlformats.org/spreadsheetml/2006/main" count="1951" uniqueCount="1364">
  <si>
    <t>TOTAL</t>
  </si>
  <si>
    <t>2.7.2.  Fortalecer los procesos administrativos para la gestión del talento humano</t>
  </si>
  <si>
    <t>2.7.2.1. Estandarizar los procedimientos para la gestión del talento humano</t>
  </si>
  <si>
    <t>2.7.2.2. Equipar de las herramientas tecnológicas necesarias para el cumplimiento de la misión institucional</t>
  </si>
  <si>
    <t>2.7.2.3. Suministrar propiedades, equipos de transporte, equipos de oficina y avituallamiento en general</t>
  </si>
  <si>
    <t>2.7.2.5. Actualizar la nómina conforme al manual de los perfiles de cargo</t>
  </si>
  <si>
    <t>2.7.3. Profesionalizar el talento humano para el cumplimiento de sus funciones</t>
  </si>
  <si>
    <t xml:space="preserve">2.7.3.1. Evaluar el desempeño del personal </t>
  </si>
  <si>
    <t>2.7.3.2. Identificar las necesidades de capacitación de acuerdo a la evaluación de desempeño</t>
  </si>
  <si>
    <t>2.7.3.3. Implementar los programas de capacitación</t>
  </si>
  <si>
    <t>2.7.4.1. Realizar programas preventivos de salud e higiene laboral</t>
  </si>
  <si>
    <t>2.7.4.2. Realizar programas de seguimiento de salud e higiene laboral</t>
  </si>
  <si>
    <t>2.7.5. Desarrollar acciones para mejorar la viabilización</t>
  </si>
  <si>
    <t>2.7.6. Implementar controles preventivos de viabilización y fiscalización para eventos de movilidad masiva</t>
  </si>
  <si>
    <t>2.7.7. Fortalecer el cumplimiento de los reglamentos y perfiles de rutas del transporte público</t>
  </si>
  <si>
    <t xml:space="preserve">ARCHIVOS ACORDEON </t>
  </si>
  <si>
    <t>CAJA DE 200 ETIQUETAS DE LABELS</t>
  </si>
  <si>
    <t>CAJA DE FORDERS PENDAFLEX 8 ½ X11</t>
  </si>
  <si>
    <t xml:space="preserve">CAJA DE GRAPAS </t>
  </si>
  <si>
    <t>CAJA DE LAPICEROS KILOMETRICOS</t>
  </si>
  <si>
    <t xml:space="preserve">CAJA LAPICES DE CARBON  </t>
  </si>
  <si>
    <t xml:space="preserve">CAJAS DE CLIPS GRANDES </t>
  </si>
  <si>
    <t xml:space="preserve">CAJAS DE CLIPS PEQUEÑOS </t>
  </si>
  <si>
    <t>CARTUCHOS DE TINTA IMPRESORA CANON, No.CRG128/728</t>
  </si>
  <si>
    <t>CARTUCHOS DE TINTA IMPRESORA HP LASER JET  P1102W (85A)</t>
  </si>
  <si>
    <t>CORRECTORES LIQUIDOS TIPO LAPIZ CAJA 12/1</t>
  </si>
  <si>
    <t>EGA</t>
  </si>
  <si>
    <t xml:space="preserve">GOMAS DE BORRAR GRANDES </t>
  </si>
  <si>
    <t>GRAPADORAS</t>
  </si>
  <si>
    <t>LIBRETAS GRANDES DE APUNTE</t>
  </si>
  <si>
    <t>LIBRETAS PEQUEÑAS DE APUNTE</t>
  </si>
  <si>
    <t xml:space="preserve">LIBROS RECORDS 300 PAGINAS </t>
  </si>
  <si>
    <t xml:space="preserve">LIBROS RECORDS 500 PAGINAS </t>
  </si>
  <si>
    <t xml:space="preserve">PAQUETES DE GOMAS </t>
  </si>
  <si>
    <t>PERFORADORA</t>
  </si>
  <si>
    <t>POSTIC GRANDES</t>
  </si>
  <si>
    <t xml:space="preserve">CAJA DE PRESILLA PARA FOLDERS </t>
  </si>
  <si>
    <t>RESALTADORES DE DIFERENTES COLORES</t>
  </si>
  <si>
    <t>RESMA PAPEL TIMBRADO EN NORMAL  8 ½ X11</t>
  </si>
  <si>
    <t xml:space="preserve">SACA GRAPAS </t>
  </si>
  <si>
    <t>CAJA DE TALONARIOS DE SOLICITUD DE INGRESOS 10/1  PMT</t>
  </si>
  <si>
    <t xml:space="preserve">CAJA DE TALONARIOS DE SOLICITUD DE INGRESOS 10/1  CIVILES </t>
  </si>
  <si>
    <t xml:space="preserve">TIJERAS </t>
  </si>
  <si>
    <t>Monto de alimentación por 12 meses</t>
  </si>
  <si>
    <t>material gastable</t>
  </si>
  <si>
    <t>caja Resma papel 8 1/2x11 (10/1)</t>
  </si>
  <si>
    <t>caja Resma papel 8 1/2x13 (10/1)</t>
  </si>
  <si>
    <t>caja de folder 8 1/2x11</t>
  </si>
  <si>
    <t>caja de folder 81/2x13</t>
  </si>
  <si>
    <t>caja lapices de carbón</t>
  </si>
  <si>
    <t>Cuadernos de 200 páginas</t>
  </si>
  <si>
    <t>caja de grapas</t>
  </si>
  <si>
    <t>grapadoras</t>
  </si>
  <si>
    <t>saca grapas</t>
  </si>
  <si>
    <t xml:space="preserve">caja de sobre para carta </t>
  </si>
  <si>
    <t>caja sobre manila grande (100/1)</t>
  </si>
  <si>
    <t>caja sobre manila pequeño (100/1)</t>
  </si>
  <si>
    <t>borradores</t>
  </si>
  <si>
    <t>caja de clips grande</t>
  </si>
  <si>
    <t>caja de clips pequeño</t>
  </si>
  <si>
    <t>carpetas (archiveros de mano)</t>
  </si>
  <si>
    <t>marcadores para pizarra</t>
  </si>
  <si>
    <t>caja de resaltadores</t>
  </si>
  <si>
    <t>caja de gancho ACCO (12/1)</t>
  </si>
  <si>
    <t>material de limpieza</t>
  </si>
  <si>
    <t>galones de mistolin</t>
  </si>
  <si>
    <t>galones de cloro</t>
  </si>
  <si>
    <t>galones de jabón liquido</t>
  </si>
  <si>
    <t>galones de pinol</t>
  </si>
  <si>
    <t>galones de acido muriatico</t>
  </si>
  <si>
    <t>suapers</t>
  </si>
  <si>
    <t>escoba plastica</t>
  </si>
  <si>
    <t>estopas</t>
  </si>
  <si>
    <t>cepillo de pared</t>
  </si>
  <si>
    <t>papel higuienico 2ply (12/1)</t>
  </si>
  <si>
    <t>Juegos de chamacos de camuflaje</t>
  </si>
  <si>
    <t>Camisetas blancas 100% algodón</t>
  </si>
  <si>
    <t>Pantalones deportivos</t>
  </si>
  <si>
    <t>Correas de nylon con hebillas solid brass</t>
  </si>
  <si>
    <t>Botas color negro tipo jungla en piel y lona</t>
  </si>
  <si>
    <t>Pares de media de campaña color verde</t>
  </si>
  <si>
    <t>Pares de media de vestir negra</t>
  </si>
  <si>
    <t>Pantaloncillos atléticos color blanco</t>
  </si>
  <si>
    <t>camisetas negras</t>
  </si>
  <si>
    <t>Tenis deportivo</t>
  </si>
  <si>
    <t>Frazada</t>
  </si>
  <si>
    <t>Toalla verde</t>
  </si>
  <si>
    <t>Cubre colchon</t>
  </si>
  <si>
    <t>Colchon</t>
  </si>
  <si>
    <t>Cubre almohada</t>
  </si>
  <si>
    <t>Almohada</t>
  </si>
  <si>
    <t>Mosquiteros</t>
  </si>
  <si>
    <t>Macana extensible</t>
  </si>
  <si>
    <t>Camisas mangas largas (Para graduación)</t>
  </si>
  <si>
    <t>Camisas mangas cortas</t>
  </si>
  <si>
    <t>corbata negra de seda</t>
  </si>
  <si>
    <t>Pantalones</t>
  </si>
  <si>
    <t>Pantaloncillos</t>
  </si>
  <si>
    <t>Panties</t>
  </si>
  <si>
    <t>Brasier</t>
  </si>
  <si>
    <t>Camisillas</t>
  </si>
  <si>
    <t>Correas</t>
  </si>
  <si>
    <t>Zapatos</t>
  </si>
  <si>
    <t>Gorras</t>
  </si>
  <si>
    <t>Banderitas</t>
  </si>
  <si>
    <t>Logos</t>
  </si>
  <si>
    <t>Medias</t>
  </si>
  <si>
    <t>Chaleco reflectivo Rotulados</t>
  </si>
  <si>
    <t>Pitos con cadena y porta pito</t>
  </si>
  <si>
    <t>Ritcher completo (cinturón de policia)</t>
  </si>
  <si>
    <t>Sombrero</t>
  </si>
  <si>
    <t>Liga elastica</t>
  </si>
  <si>
    <t>POLICIA NACIONAL</t>
  </si>
  <si>
    <t>DESCRIPCION DEL ELEMENTO</t>
  </si>
  <si>
    <t>CANT.</t>
  </si>
  <si>
    <t>VALOR UNIT</t>
  </si>
  <si>
    <t>VALOR TOTAL</t>
  </si>
  <si>
    <t>MES DE COMPRA</t>
  </si>
  <si>
    <t>FUENTE FINANCIACION</t>
  </si>
  <si>
    <t>UNIDAD DESTINO</t>
  </si>
  <si>
    <t>OBSERVACION</t>
  </si>
  <si>
    <t>UNITARIO</t>
  </si>
  <si>
    <t>TOTAL GENERAL</t>
  </si>
  <si>
    <t>Rotafolio</t>
  </si>
  <si>
    <t>Cartulina de hilo blanca 8 1/2 x 11</t>
  </si>
  <si>
    <t>Material de apoyo (Diseño, diagramación e impresión)</t>
  </si>
  <si>
    <t xml:space="preserve">Material Educativo </t>
  </si>
  <si>
    <t>Refrigerio/almuerzo</t>
  </si>
  <si>
    <t>Material Gastable para Cursos basico de capacitación vial</t>
  </si>
  <si>
    <t xml:space="preserve">RECONOCIMIENTOS PREMIACIONES Y DEMAS </t>
  </si>
  <si>
    <t xml:space="preserve">EVALUACION POR DESEMPEÑO ANUAL EMPLEADOS CIVILES </t>
  </si>
  <si>
    <t xml:space="preserve">SALARIO MAYOR                                            </t>
  </si>
  <si>
    <t xml:space="preserve">SALARIO MEDIO                                                                                              </t>
  </si>
  <si>
    <t xml:space="preserve">SALARIO MENOR                                                                                            </t>
  </si>
  <si>
    <t>PROMEDIO DE LOS SALARIOS</t>
  </si>
  <si>
    <t xml:space="preserve">MONTO BASE PARA RECONCIMIENTO MULTIPLICADO </t>
  </si>
  <si>
    <t>COMPENSACION POR DESEMPEÑO MENSUAL A UNA MUESTRA DE TODO EL PERSONAL</t>
  </si>
  <si>
    <t>CANTIDAD DE DEPENDENCIAS</t>
  </si>
  <si>
    <t>MUESTRA A TOMAR DE EMPLEADOS POR DEPENDENCIAS</t>
  </si>
  <si>
    <t xml:space="preserve">TOTAL DE EMPLEADOS PARA LA MUESTRA </t>
  </si>
  <si>
    <t xml:space="preserve">CALCULO EN BASE UNA GRATIFICACION DE  RD$15,000.00 PESOS </t>
  </si>
  <si>
    <t xml:space="preserve">GRATIFICACION </t>
  </si>
  <si>
    <t xml:space="preserve">MUESTRA DE EMPLEADOS </t>
  </si>
  <si>
    <t>INVESION ANUAL</t>
  </si>
  <si>
    <t>MATERIAL GASTABLE</t>
  </si>
  <si>
    <t>Cursos de Especialización por valorización del desempeño a sus funciones (Nacionales)</t>
  </si>
  <si>
    <t xml:space="preserve">Cursos de Especialización por valorización del desempeño a sus funciones (Internacionales) </t>
  </si>
  <si>
    <t>No costo</t>
  </si>
  <si>
    <t>TECNOLOGIA</t>
  </si>
  <si>
    <t>UPS de 700 wts</t>
  </si>
  <si>
    <t>Impresora multifuncionales</t>
  </si>
  <si>
    <t>Impresora de alta definición DUO COLOR</t>
  </si>
  <si>
    <t>Para trabajos de planos Direccion de Planificación</t>
  </si>
  <si>
    <t>Impresora de alta definición KONICA</t>
  </si>
  <si>
    <t>Disco duro externo (3 tera)</t>
  </si>
  <si>
    <t>Contemplan las unidades de procedimiento accidentes y DOCA</t>
  </si>
  <si>
    <t>Servidores de rack</t>
  </si>
  <si>
    <t>Sistema de Seguridad Fortinet</t>
  </si>
  <si>
    <t>Conectores RJ45 funda de 100 unds</t>
  </si>
  <si>
    <t>Jack categoria 6</t>
  </si>
  <si>
    <t>Caja de cable UTP categoria 6</t>
  </si>
  <si>
    <t>Face Plate de 2 salidas</t>
  </si>
  <si>
    <t>Extensiones eléctricas mamey de 25 pies</t>
  </si>
  <si>
    <t>Cable HDMI de 25 pies</t>
  </si>
  <si>
    <t>Patch Cord de 3 pies</t>
  </si>
  <si>
    <t>Patch Cord de 6 pies</t>
  </si>
  <si>
    <t>Patch Cord de 18 pies</t>
  </si>
  <si>
    <t>Patch Cord de 10 pies</t>
  </si>
  <si>
    <t>Memorias para PC</t>
  </si>
  <si>
    <t>Disco duro de PC DE 500 GB (Minimo)</t>
  </si>
  <si>
    <t>Blower</t>
  </si>
  <si>
    <t>Adaptador -convertidor cable IDE-SATA/ATA a USB</t>
  </si>
  <si>
    <t>Probador de power suply</t>
  </si>
  <si>
    <t>Probador de tono para red</t>
  </si>
  <si>
    <t>Equipos de herramientas para red</t>
  </si>
  <si>
    <t>Brochas de fibras largas</t>
  </si>
  <si>
    <t xml:space="preserve">Equipos de herraminetas para reparacion </t>
  </si>
  <si>
    <t>Power suply para pc DELL</t>
  </si>
  <si>
    <t>Power suply genericos</t>
  </si>
  <si>
    <t>Televisor LED de 42 pulg.</t>
  </si>
  <si>
    <t>Base de pared para televisor de 42 pulg.</t>
  </si>
  <si>
    <t>Base de pared para monitor de computadora de 19 pulg.</t>
  </si>
  <si>
    <t>Pilas CR2032 para mother board</t>
  </si>
  <si>
    <t>Servidor VPS para correos electronicos</t>
  </si>
  <si>
    <t>Switch de 24 puertos incluyendo puertos Gibit</t>
  </si>
  <si>
    <t>Router balanceador de cargas de internet</t>
  </si>
  <si>
    <t>Regletas de 6 salidas con proteccion</t>
  </si>
  <si>
    <t xml:space="preserve">Pizarra Electronica </t>
  </si>
  <si>
    <t xml:space="preserve">Pantalla de Proyección </t>
  </si>
  <si>
    <t xml:space="preserve">Cámara de video Profesional ULTRA HD Modelo </t>
  </si>
  <si>
    <t>Micrófonos inalámbricos incluye sonido</t>
  </si>
  <si>
    <t>Para la Escuela Metropolitana</t>
  </si>
  <si>
    <t>Punteros</t>
  </si>
  <si>
    <t>Murales Digitales</t>
  </si>
  <si>
    <t>Televisor LED de 55 pulg.</t>
  </si>
  <si>
    <t xml:space="preserve">(2) Sede Central, (4) Regionales, (1) DOCA Las Americas, (1) DOCA la Cumbre </t>
  </si>
  <si>
    <t>Base para Televisor LED de 55 pulg.</t>
  </si>
  <si>
    <t>Cable HDMI de 50 pies</t>
  </si>
  <si>
    <t>Splitter para conectividad</t>
  </si>
  <si>
    <t>Proyecto Sistema de Geolocalización de Incidentes del Tránsito.</t>
  </si>
  <si>
    <t>Apple TV, 4ta Generacion, 64GB. (A1625)</t>
  </si>
  <si>
    <t>Apple iMac 27-inch, 2880 P3 Display 5K, Core i7 4.0Ghz, 1TB Flash Drive, Radeon R9 M395X 4GB DDR5 (iMac 17,1)</t>
  </si>
  <si>
    <t>Televisor LG LED Ultra HD 4K, 120hz 3D, 55 Pulgadas (55UB8500)</t>
  </si>
  <si>
    <t>Base mobible  para TV de 45 a 70 pulgadas. Argom (BMPTV45a70)</t>
  </si>
  <si>
    <t>Sistema de Respaldo Energético, UPS APC Back-up Pro 1500</t>
  </si>
  <si>
    <t>Apple HDMI to HDMI Cable, de 6 Pies</t>
  </si>
  <si>
    <t>Apple Thunderbolt to Thunderbolt Cable, de 6 Pies</t>
  </si>
  <si>
    <t>Apple USB to Ligthing Cable, de 6 Pies</t>
  </si>
  <si>
    <t>Monitor Thunderbolt Apple, LED FullHD, de 27 Pulgadas</t>
  </si>
  <si>
    <t>Base o Stand de Escritorio para MacBook Pro de 15 Pulgadas (Rain M-Stand Swivel Base)</t>
  </si>
  <si>
    <t>Teclado Apple Magic Keyboard 2</t>
  </si>
  <si>
    <t>Trackpad Apple Magic Keyboard 2</t>
  </si>
  <si>
    <t>Tabletas de Diseño, Wacom Intuos Pro Medium, con Lápiz y Accesorios</t>
  </si>
  <si>
    <t>Audífonos de Monitoreo Bose QuietComfort 35, Wireless Headphones</t>
  </si>
  <si>
    <t>Memoria USB3 SanDisk de 128GB</t>
  </si>
  <si>
    <t>Printer HP LaserJet Color PRO400</t>
  </si>
  <si>
    <t>Kit de Toner para LaserJet Color PRO 400 HP</t>
  </si>
  <si>
    <t>Propiedades y alimentación</t>
  </si>
  <si>
    <t>Se consideraron 2 sombrero/miembro</t>
  </si>
  <si>
    <t>Bota</t>
  </si>
  <si>
    <t>Se consideraron 2 bota/miembro</t>
  </si>
  <si>
    <t>Cobertor</t>
  </si>
  <si>
    <t>Se consideraron 2 cobertor/miembro</t>
  </si>
  <si>
    <t>Se consideraron 2 gorras/miembro</t>
  </si>
  <si>
    <t>Se consideraron 5 camisas mangas largas/miembro</t>
  </si>
  <si>
    <t>Se consideraron 10 camisa mangas cortas/miembro</t>
  </si>
  <si>
    <t>Se consideró 1 corbata/miembro</t>
  </si>
  <si>
    <t>Franela blanca de cuello redondo</t>
  </si>
  <si>
    <t>Se consideraron 10 franelas blancas/miembro</t>
  </si>
  <si>
    <t>Se consideraron 2 chaleco refractivo/miembro</t>
  </si>
  <si>
    <t>Chaleco refractivo Rotulado (para agentes motorizados)</t>
  </si>
  <si>
    <t>Se consideró un 40% del personal operativo para los agentes motorizados  agentes motorizados y se consideró 500 chalecos de las nuevas motocicletas</t>
  </si>
  <si>
    <t>Pantalón verde olivo</t>
  </si>
  <si>
    <t>Se consideraron 10 pantalon/miembro</t>
  </si>
  <si>
    <t>Se consideraron 2 pares de botas/miembro</t>
  </si>
  <si>
    <t>Se consideraron 2 pares de zapatos/miembro</t>
  </si>
  <si>
    <t>Pares de medias fina</t>
  </si>
  <si>
    <t>Se consideraron 10 pares de medias gruesa/miembro</t>
  </si>
  <si>
    <t>Se consideraron 10 pares de medias /miembro</t>
  </si>
  <si>
    <t>Se consideraron 2 uds/miembro</t>
  </si>
  <si>
    <t>Correas de policia</t>
  </si>
  <si>
    <t>Se consideraró 1 ud/miembro</t>
  </si>
  <si>
    <t>Se consideraron 6 uds/miembro</t>
  </si>
  <si>
    <t>Capa de agua</t>
  </si>
  <si>
    <t>Se consideraron 5 pares/miembro</t>
  </si>
  <si>
    <t>Se consideró 1 ud/miembro</t>
  </si>
  <si>
    <t>Taser (Dispositivo electrico no letal)</t>
  </si>
  <si>
    <t>Pares de esposa</t>
  </si>
  <si>
    <t>Porta esposa</t>
  </si>
  <si>
    <t>Porta macana</t>
  </si>
  <si>
    <t>Chambron</t>
  </si>
  <si>
    <t>Se incluyó 1 comida diaria al personal (incluyendo 350 miembros civiles)</t>
  </si>
  <si>
    <t>Flota</t>
  </si>
  <si>
    <t>Transporte</t>
  </si>
  <si>
    <t>Motocicleta</t>
  </si>
  <si>
    <t>Porta Herramientas</t>
  </si>
  <si>
    <t>Taladro inalábrico</t>
  </si>
  <si>
    <t>Taladro Plus</t>
  </si>
  <si>
    <t>Taladro de 700 W</t>
  </si>
  <si>
    <t>Juego de barrenas para metal y puntas de taladro</t>
  </si>
  <si>
    <t>Juego de barrenas para pared</t>
  </si>
  <si>
    <t>Martillos</t>
  </si>
  <si>
    <t>Cinta métrica de 5 m</t>
  </si>
  <si>
    <t>Cinta métrica de 10 m</t>
  </si>
  <si>
    <t>Cinta métrica de 30 m</t>
  </si>
  <si>
    <t>Cinta métrica de 60 m</t>
  </si>
  <si>
    <t>Pala cuadrada</t>
  </si>
  <si>
    <t>Pala redonda</t>
  </si>
  <si>
    <t>Picos</t>
  </si>
  <si>
    <t>Cabos para picos</t>
  </si>
  <si>
    <t>Cincel 1 x 8</t>
  </si>
  <si>
    <t>Cincel 1 x 10</t>
  </si>
  <si>
    <t>Tijera de jardín</t>
  </si>
  <si>
    <t>Rastrillo</t>
  </si>
  <si>
    <t>Cabo de Rastrillo</t>
  </si>
  <si>
    <t>Mandarria de 3 lb</t>
  </si>
  <si>
    <t>Mandarria de 6 lb</t>
  </si>
  <si>
    <t>Mandarria de 8 lb</t>
  </si>
  <si>
    <t>Mandarria de 10 lb</t>
  </si>
  <si>
    <t>Machete</t>
  </si>
  <si>
    <t>Juego de destornillador</t>
  </si>
  <si>
    <t>Cinta plana de plomería</t>
  </si>
  <si>
    <t>Cinta eléctrica</t>
  </si>
  <si>
    <t>Juego de alicate mecánico</t>
  </si>
  <si>
    <t>Marcos de segueta</t>
  </si>
  <si>
    <t>Pinza Daguanal eléctrica</t>
  </si>
  <si>
    <t>Alicate eléctrico</t>
  </si>
  <si>
    <t>Pinza punta larga eléctrica</t>
  </si>
  <si>
    <t>Carretilla de 6 pies</t>
  </si>
  <si>
    <t>Multímetro</t>
  </si>
  <si>
    <t>Lentes de seguridad C</t>
  </si>
  <si>
    <t>Corta tubo de refrigeración</t>
  </si>
  <si>
    <t>Implementación de nuevas sedes Incluye: Alquiler, remozamiento, mantenimiento, tecnología, equipamiento</t>
  </si>
  <si>
    <t xml:space="preserve">2.7.4.3 (A)  Construir y Remozar infraestructuras a nivel nacional </t>
  </si>
  <si>
    <t>VALOR TOTAL 2016</t>
  </si>
  <si>
    <t>Remozamiento  Canódromo</t>
  </si>
  <si>
    <t>Remozamiento  Centro retención Ave. Independencia (Completivo)</t>
  </si>
  <si>
    <t>Remozamiento  El Peso</t>
  </si>
  <si>
    <t>Remozamiento  La Cumbre</t>
  </si>
  <si>
    <t>Adquisición local  para sede  Santiago y dotación</t>
  </si>
  <si>
    <t>Remozamiento  Jarabacoa</t>
  </si>
  <si>
    <t>Remozamiento  Sede Central (Completivo)</t>
  </si>
  <si>
    <t>Se incrementa en un 10% por concepto de renovación de contratos de alquiler</t>
  </si>
  <si>
    <t>400,000 PARA Sede Central   mensual</t>
  </si>
  <si>
    <t>60,000 mensual  para sedes pequeñas, incluye sedes en ciudades + ofic. Procedimiento + ofic. DOCA</t>
  </si>
  <si>
    <t>Total</t>
  </si>
  <si>
    <t xml:space="preserve">2.7.4.3 (B)  Construir y Remozar infraestructuras a nivel nacional </t>
  </si>
  <si>
    <t>DESCRIPCION</t>
  </si>
  <si>
    <t>CANTIDAD</t>
  </si>
  <si>
    <t>COSTO UNITARIO</t>
  </si>
  <si>
    <t>COSTO TOTAL</t>
  </si>
  <si>
    <t>ALQUILER, REMOZAMIENTO, MANTENIMIENTO, PAGOS SERVICIOS</t>
  </si>
  <si>
    <t>Internet de 5MB (Mínimo) ADLS</t>
  </si>
  <si>
    <t xml:space="preserve">Inversor de 5K </t>
  </si>
  <si>
    <t>Baterías inversor</t>
  </si>
  <si>
    <t xml:space="preserve">Switch de 8 puertos + cable + conectores </t>
  </si>
  <si>
    <t>EQUIPAMIENTOS</t>
  </si>
  <si>
    <t>Aires acondicionados</t>
  </si>
  <si>
    <t>Set sillas de visitas (4 sillas)</t>
  </si>
  <si>
    <t>Juego de fotos Padres de la Patria</t>
  </si>
  <si>
    <t>Bandera Institucional</t>
  </si>
  <si>
    <t>Bandera de la Patria</t>
  </si>
  <si>
    <t>Estufa</t>
  </si>
  <si>
    <t>Nevera</t>
  </si>
  <si>
    <t>Utensilios de cocina</t>
  </si>
  <si>
    <t>COSTO TOTAL (para 1 sede)</t>
  </si>
  <si>
    <t>Implementar un plan de construcciones y remodelaciones en areas determinadas por los levantamientos y estudios de factibilidad.</t>
  </si>
  <si>
    <t>Evaluar el desempeño del personal en la aplicación de los conocimientos adquiridos.</t>
  </si>
  <si>
    <t>Evaluar el desempeño, para medir la productividad de los miembros de la institución y valoración de su especialización.</t>
  </si>
  <si>
    <t>Se estima pagar especialidad a 5 personas al año tomando en consederación que una especialidad cuesta RD$ 200,000</t>
  </si>
  <si>
    <t>Se contempla este costo solo de viáticos (no el costo del curso) ya que se sugiere buscar convenio con Educación (para 20 personas un estimado de viaticos de US$ 10,000/PERSONA )</t>
  </si>
  <si>
    <t>Desarrollar  programas de educación continua a miembros de la institución para cumplimiento de sus funciones</t>
  </si>
  <si>
    <t>Requerimientos para personal Sede Sto Dgo y Stgo</t>
  </si>
  <si>
    <t>ver anexo 2.7.6.2 de soporte a cada campaña</t>
  </si>
  <si>
    <t>Cinta Métrica (200 M)</t>
  </si>
  <si>
    <t>Cinta métrica (10 metros)</t>
  </si>
  <si>
    <t>Odómetros</t>
  </si>
  <si>
    <t>Chalecos Reflectivos para protección personal</t>
  </si>
  <si>
    <t>levantamiento de las 208 rutas para revisar su perfil</t>
  </si>
  <si>
    <t>se considera dotar de una unidad equipada para la investigación de accidentes</t>
  </si>
  <si>
    <t>Mini Van</t>
  </si>
  <si>
    <t>Licencias de Software de Animación y Reconstrucción de Accidentes</t>
  </si>
  <si>
    <t>Cámaras Fotográficas de 24 mp</t>
  </si>
  <si>
    <t>Medidores de Profundidad Banda de Rodamiento</t>
  </si>
  <si>
    <t>Medidores de aire de baja presión</t>
  </si>
  <si>
    <t>Medidores de Alta presión</t>
  </si>
  <si>
    <t>Cintas métricas de 8 mts.</t>
  </si>
  <si>
    <t>Cintas de métricas de 100 mts.</t>
  </si>
  <si>
    <t>Niveles (Inclinómetros)</t>
  </si>
  <si>
    <t>Brújulas portátiles</t>
  </si>
  <si>
    <t>Conos Reflectivos</t>
  </si>
  <si>
    <t>Barricadas Viales</t>
  </si>
  <si>
    <t>Conos Delimitadores</t>
  </si>
  <si>
    <t>Linternas normales LED</t>
  </si>
  <si>
    <t>Linternas Spotlight LED</t>
  </si>
  <si>
    <t>Plomadas de Punta</t>
  </si>
  <si>
    <t>Cajas Plásticas de Herramientas</t>
  </si>
  <si>
    <t>ClipBoard</t>
  </si>
  <si>
    <t>Kit de marcadores de evidencias</t>
  </si>
  <si>
    <t xml:space="preserve">Alcotest o Etilómetro </t>
  </si>
  <si>
    <t>Basculas</t>
  </si>
  <si>
    <t>Productos medicinales</t>
  </si>
  <si>
    <t>Costos suministrados por Adm y Financiero</t>
  </si>
  <si>
    <t>Materiales Medicos Gast</t>
  </si>
  <si>
    <t>Diseñar e implementar programas que permitan mejor la calidad de vida de los miembros de la institución.</t>
  </si>
  <si>
    <t>EQUIPOS DE OFICINA</t>
  </si>
  <si>
    <t xml:space="preserve">Fotocopiadora </t>
  </si>
  <si>
    <t>Trituradora de papel</t>
  </si>
  <si>
    <t>Guillotina de papel</t>
  </si>
  <si>
    <t xml:space="preserve">Encuadernadora </t>
  </si>
  <si>
    <t>MOBILIARIO</t>
  </si>
  <si>
    <t>Sillón ejecutivo</t>
  </si>
  <si>
    <t>Sillón semi - ejecutivo</t>
  </si>
  <si>
    <t>Silla para visitantes</t>
  </si>
  <si>
    <t>Escritorio ejecutivo</t>
  </si>
  <si>
    <t>Escritorio  semi - ejecutivo</t>
  </si>
  <si>
    <t>Mesa para computadora</t>
  </si>
  <si>
    <t>Archivo de 4 gavetas</t>
  </si>
  <si>
    <t>Archivo de 2 gavetas</t>
  </si>
  <si>
    <t>Armario de metal (ropero)</t>
  </si>
  <si>
    <t>Seguro para mobiliario (Incluye contra incendio)</t>
  </si>
  <si>
    <t>Agenda de escritorio</t>
  </si>
  <si>
    <t>Agenda Personal</t>
  </si>
  <si>
    <t>Agua de botellitas de 16 onzas 20/1</t>
  </si>
  <si>
    <t>Aguas de Botellones 5 galones</t>
  </si>
  <si>
    <t>Ambientador</t>
  </si>
  <si>
    <t>Archivo Acordeon 8 1/2 x 11</t>
  </si>
  <si>
    <t>Bandeja de escritorio</t>
  </si>
  <si>
    <t>Borras</t>
  </si>
  <si>
    <t xml:space="preserve">CD en blanco </t>
  </si>
  <si>
    <t>DVD en blanco</t>
  </si>
  <si>
    <t>Cajas clips billetero 1" (144/1)</t>
  </si>
  <si>
    <t>Cajas clips billetero 2" grandes</t>
  </si>
  <si>
    <t xml:space="preserve">Cajas de felpa de color </t>
  </si>
  <si>
    <t>Cajas de folders 8 1/2 x 11</t>
  </si>
  <si>
    <t>Cajas de folders con bolsillo verde 25/1</t>
  </si>
  <si>
    <t>Cajas de gancho macho y hembra (acor)</t>
  </si>
  <si>
    <t>Cajas de lapiceros</t>
  </si>
  <si>
    <t>Cajas de leybol</t>
  </si>
  <si>
    <t>Cartuchos para impresora</t>
  </si>
  <si>
    <t>Chinchetas</t>
  </si>
  <si>
    <t>Cinta Adhesiva 3/4</t>
  </si>
  <si>
    <t>Cinta para calculadora</t>
  </si>
  <si>
    <t>Cintas anchas 2 x 110</t>
  </si>
  <si>
    <t>Clip para carnet</t>
  </si>
  <si>
    <t>Clip grande</t>
  </si>
  <si>
    <t>Clips pequeño</t>
  </si>
  <si>
    <t>Corrector liquido tipo lapiz caja 12/1</t>
  </si>
  <si>
    <t>Crayones de pizarra azul</t>
  </si>
  <si>
    <t>Crayones de pizarra negro</t>
  </si>
  <si>
    <t>Dispensador de cinta para empaque</t>
  </si>
  <si>
    <t>Dispensadores de cinta</t>
  </si>
  <si>
    <t>Fichas rayadas 3 x 5</t>
  </si>
  <si>
    <t>Folder 8 1/2 x 14 100/2</t>
  </si>
  <si>
    <t>Folders rojos con bolsillo</t>
  </si>
  <si>
    <t xml:space="preserve">Grapadora </t>
  </si>
  <si>
    <t>Gomas de borrar</t>
  </si>
  <si>
    <t xml:space="preserve">Lapiz de carbon </t>
  </si>
  <si>
    <t>Libretas rayadas 5 x 8 (pequeña)</t>
  </si>
  <si>
    <t>Libretas rayadas 8 1/2 x 11 (grande)</t>
  </si>
  <si>
    <t>Libros record de 300 pgs.</t>
  </si>
  <si>
    <t>Libros record de 500 pgs.</t>
  </si>
  <si>
    <t>Marcador permanente</t>
  </si>
  <si>
    <t>Notas autoadhesivas desprendibles (post-stick) mediano</t>
  </si>
  <si>
    <t>Notas autoadhesivas desprendibles (post-stick) pequeño</t>
  </si>
  <si>
    <t>Papel bond 8 1/2 x 11 (cajas 10/1)</t>
  </si>
  <si>
    <t>Papel bond 8 1/2 x 13 (cajas 10/1 resmas)</t>
  </si>
  <si>
    <t>Resmas papel 8 1/2 x 14 (10/1)</t>
  </si>
  <si>
    <t>Papel bond 11 x 17 (cajas 5/1 resmas)</t>
  </si>
  <si>
    <t>Rollo de Papel Bond (24 Pulg)</t>
  </si>
  <si>
    <t>Se contemplan 2 rollos mensuales</t>
  </si>
  <si>
    <t>Papel satinado 100 (8 1/2 x 11) Resmas</t>
  </si>
  <si>
    <t>Papel satinado 80 (8 1/2 x 11) Resmas</t>
  </si>
  <si>
    <t>Papel satinado 100 ( 11 x 17) Resmas</t>
  </si>
  <si>
    <t>Papel satinado 80 ( 11 x 17) Resmas</t>
  </si>
  <si>
    <t>Papel carbon</t>
  </si>
  <si>
    <t>Papel timbrado en normal 8 1/2 x 11</t>
  </si>
  <si>
    <t>Pegamento (ega)</t>
  </si>
  <si>
    <t>Pendaflex 8 1/2 x 14</t>
  </si>
  <si>
    <t>Pendaflex 8 1/2 x 11 (cajita)</t>
  </si>
  <si>
    <t>Perforadora de 2 hoyos</t>
  </si>
  <si>
    <t>Perforadora para carnet dkq</t>
  </si>
  <si>
    <t>Perforadores</t>
  </si>
  <si>
    <t>Plastico para carnet</t>
  </si>
  <si>
    <t>Porta clips</t>
  </si>
  <si>
    <t>Porta Lapiz</t>
  </si>
  <si>
    <t>Post-tick 3 x 5</t>
  </si>
  <si>
    <t>Regla 12"</t>
  </si>
  <si>
    <t>Resaltadores de color 12/1</t>
  </si>
  <si>
    <t>Resmas timbrada en hilo 8 1/2 x 11</t>
  </si>
  <si>
    <t>Saca grapa</t>
  </si>
  <si>
    <t>Sacapuntas</t>
  </si>
  <si>
    <t>Sobre de manila 8 1/2 X 13 caja</t>
  </si>
  <si>
    <t>Sobre de manila 8 1/2 X 11 caja 100/1</t>
  </si>
  <si>
    <t>Sobre manila de pago pequeño</t>
  </si>
  <si>
    <t>Sobre timbrado normal</t>
  </si>
  <si>
    <t>Talonario de pedido de almacen</t>
  </si>
  <si>
    <t>Talonario de salida de almacen</t>
  </si>
  <si>
    <t>Talonario de tramitacion</t>
  </si>
  <si>
    <t>Tarjeteros</t>
  </si>
  <si>
    <t>Tijeras</t>
  </si>
  <si>
    <t>Tinta para sellos en gotas</t>
  </si>
  <si>
    <t>Tinta para sellos en rollon</t>
  </si>
  <si>
    <t>MISCELANEOS</t>
  </si>
  <si>
    <t>Ace para detallar por paquete lb.</t>
  </si>
  <si>
    <t>Acido muriatico</t>
  </si>
  <si>
    <t>Brillo verde</t>
  </si>
  <si>
    <t>Cloro galon</t>
  </si>
  <si>
    <t>Cubetas de 14 litros</t>
  </si>
  <si>
    <t>Descaline galon</t>
  </si>
  <si>
    <t>Desmanchador de pisos</t>
  </si>
  <si>
    <t>Escobas plasticas</t>
  </si>
  <si>
    <t>Escobillas de hinodoros</t>
  </si>
  <si>
    <t>Escobillones de limpieza</t>
  </si>
  <si>
    <t>Funda de bandas elastica 100/1</t>
  </si>
  <si>
    <t>Funda para basuras 30 gls</t>
  </si>
  <si>
    <t>Funda plasticas para empaque 1/1000</t>
  </si>
  <si>
    <t>Fundas negras 55 gls</t>
  </si>
  <si>
    <t>Guante p/dama par</t>
  </si>
  <si>
    <t>Jabon liquido multiuso lqb</t>
  </si>
  <si>
    <t>Lanilla yarda (rami)</t>
  </si>
  <si>
    <t>Lisol spray</t>
  </si>
  <si>
    <t>Mistolin desinfectante galon</t>
  </si>
  <si>
    <t>Papel higienico jumbo 2ply 12/1</t>
  </si>
  <si>
    <t>Papel toalla de cocina</t>
  </si>
  <si>
    <t>Paquetes de vasos de café 100/1 cajas</t>
  </si>
  <si>
    <t>Pin espuma</t>
  </si>
  <si>
    <t>Recogedor de basura</t>
  </si>
  <si>
    <t>Servilleta toalla cristal dispensador</t>
  </si>
  <si>
    <t xml:space="preserve">Servilletas c-ford </t>
  </si>
  <si>
    <t>Servilletas toallas</t>
  </si>
  <si>
    <t>Suaper</t>
  </si>
  <si>
    <t>Zafacones de limpieza gigantes</t>
  </si>
  <si>
    <t>Zafacones rectangular pequeño</t>
  </si>
  <si>
    <t>Cepillo de pared</t>
  </si>
  <si>
    <t>Limpia cristal galon</t>
  </si>
  <si>
    <t>Colchones</t>
  </si>
  <si>
    <t>Almohadas</t>
  </si>
  <si>
    <t>Cubre Colchón</t>
  </si>
  <si>
    <t>Cubre Almohadas</t>
  </si>
  <si>
    <t>Mosquitero</t>
  </si>
  <si>
    <t>Cono reflectivo</t>
  </si>
  <si>
    <t>Chaleco reflectivo Rotulado</t>
  </si>
  <si>
    <t xml:space="preserve">Este monto fue considerado para la retribucion salarial de acuerdo al perfil de cargos </t>
  </si>
  <si>
    <t>Implementar perfiles de puestos en todas las áreas.</t>
  </si>
  <si>
    <t>Ajustar el salario en compensación al trabajo que realiza.</t>
  </si>
  <si>
    <r>
      <t xml:space="preserve">CAJA DE FORDERS 8 </t>
    </r>
    <r>
      <rPr>
        <sz val="12"/>
        <color indexed="8"/>
        <rFont val="Arial"/>
        <family val="2"/>
      </rPr>
      <t>½ X11</t>
    </r>
  </si>
  <si>
    <r>
      <t>CAJA RESMAMA DE PAPEL  8</t>
    </r>
    <r>
      <rPr>
        <sz val="12"/>
        <color indexed="8"/>
        <rFont val="Arial"/>
        <family val="2"/>
      </rPr>
      <t>½ X 11 (10/1)</t>
    </r>
  </si>
  <si>
    <t>Requerimientos para evaluar y seleccionar el personal para nuevo ingreso.</t>
  </si>
  <si>
    <t>Requerimientos para la implementación del programa de entrenamiento</t>
  </si>
  <si>
    <t>Material Gastable Requerido proceso de evaluación del desempeño</t>
  </si>
  <si>
    <t>Evaluación de desempeño anual</t>
  </si>
  <si>
    <t>2.7.8. Fortalecer los procesos para el cumplimiento de la ley a nivel nacional.</t>
  </si>
  <si>
    <t>Jabón liquido multiuso lqb de mano para baño</t>
  </si>
  <si>
    <t>Contemplan las Unidades de Procedimiento de Tránsito y contemplan DOCA, comunicaciones y diseño grafico</t>
  </si>
  <si>
    <t>Laptop I5 o I7 con puerto HDMI</t>
  </si>
  <si>
    <t>Incluye 1 para la Escuela y comunicaciones, redes sociales</t>
  </si>
  <si>
    <t>Impresora Hp laserjet</t>
  </si>
  <si>
    <t>Inversores de 10 kwatt</t>
  </si>
  <si>
    <t>Contemplar 1 televisor para cada Regional, incluyendo la provincia, Escuela y Comunicaciones</t>
  </si>
  <si>
    <t xml:space="preserve">Wifi para aulas de la Escuela Metropolitana y departamento de redes </t>
  </si>
  <si>
    <t xml:space="preserve"> Escuela Metropolitana y departamento de redes </t>
  </si>
  <si>
    <t>Switch de 8 puertos comandancias interior</t>
  </si>
  <si>
    <t>Proyector (Data Show) HDMI</t>
  </si>
  <si>
    <t>Regletas para rack de 12 salidas con proteccion (power strip)</t>
  </si>
  <si>
    <t>Amplitud ancho de banda de 10 a 100 Mb</t>
  </si>
  <si>
    <t xml:space="preserve">Comuniaciones </t>
  </si>
  <si>
    <t>Cámara Fotográfica  (con wifi, moria 64gb, flash digital)</t>
  </si>
  <si>
    <t>Comunicaciones y redes sociales</t>
  </si>
  <si>
    <t>Lente Digital de 18 @ 200 ZOOM</t>
  </si>
  <si>
    <t>Radio Minicomponente</t>
  </si>
  <si>
    <t xml:space="preserve">             DESCRIPCION</t>
  </si>
  <si>
    <t>Perforadora de 3  hoyos</t>
  </si>
  <si>
    <t>Ley 63-17  (manual de bolsillo)</t>
  </si>
  <si>
    <t>incluye 25 curso de formacion continua</t>
  </si>
  <si>
    <t>Incluye la escuela</t>
  </si>
  <si>
    <t>NO.</t>
  </si>
  <si>
    <t>NOMBRE</t>
  </si>
  <si>
    <t>VIATICOS</t>
  </si>
  <si>
    <t>COSTO</t>
  </si>
  <si>
    <t>DIAS</t>
  </si>
  <si>
    <t>PERSONAL</t>
  </si>
  <si>
    <t>Campamento de Verano (Julio-Agosto )</t>
  </si>
  <si>
    <t>SISTEMAS</t>
  </si>
  <si>
    <t>Recursos Humanos</t>
  </si>
  <si>
    <t>Programa Control Despacho y Recibo de Actas de Infracciones</t>
  </si>
  <si>
    <t>Programa de Suministro</t>
  </si>
  <si>
    <t>Sistema de Contabilidad</t>
  </si>
  <si>
    <t>Procedimiento de Transito</t>
  </si>
  <si>
    <t>Control de Personal</t>
  </si>
  <si>
    <t>Item</t>
  </si>
  <si>
    <t>Necesidades Departamento de Salud</t>
  </si>
  <si>
    <t xml:space="preserve">Cantidad </t>
  </si>
  <si>
    <t>Unidad</t>
  </si>
  <si>
    <t>VALOR</t>
  </si>
  <si>
    <t>Dron DJI PHANTON 4 PRO  (incuye 2 baterias adicionales)</t>
  </si>
  <si>
    <t>Se consideró suministrar 2 veces/año y para un total de 3,432 de los agentes existentes más 700 nuevos miembros</t>
  </si>
  <si>
    <t>Se consideró 1 ud/miembro (3,432) y 350 esposas para las prácticas de entrenamiento</t>
  </si>
  <si>
    <t>PRESUPUESTO PARA (3,432) AGENTES, AÑO 2018</t>
  </si>
  <si>
    <t xml:space="preserve">RESUMEN POR CUENTA </t>
  </si>
  <si>
    <t>CUENTA</t>
  </si>
  <si>
    <t>DETALLE</t>
  </si>
  <si>
    <t>MONTO RD$</t>
  </si>
  <si>
    <t>2.3.7.1.01</t>
  </si>
  <si>
    <t>COMBUSTIBLE (GASOLINA)</t>
  </si>
  <si>
    <t>2.3.7.1.06</t>
  </si>
  <si>
    <t>LUBRICANTES</t>
  </si>
  <si>
    <t>2.2.7.2.06</t>
  </si>
  <si>
    <t>SERVICIOS:</t>
  </si>
  <si>
    <t>2.2.8.7.06</t>
  </si>
  <si>
    <t xml:space="preserve">ROTULACION  FLOTILLAS DE 918 VEHICULOS </t>
  </si>
  <si>
    <t>REPARACION DE 257 VEHICULOS</t>
  </si>
  <si>
    <t>2.3.9.8.06</t>
  </si>
  <si>
    <t>REPUESTOS PARA 257 VEHICULOS</t>
  </si>
  <si>
    <t>REPUESTOS PARA 661 MOTOCICLETAS</t>
  </si>
  <si>
    <t>2.3.5.3.01</t>
  </si>
  <si>
    <t>NEUMATICOS PARA 661 MOTOCICLETAS</t>
  </si>
  <si>
    <t>NEUMATICOS PARA 257 VEHICULOS</t>
  </si>
  <si>
    <t>2.2.6.2.01</t>
  </si>
  <si>
    <t>SEGUROS PARA 918 VEHICULOS</t>
  </si>
  <si>
    <t>2.3.1.1.01</t>
  </si>
  <si>
    <t>ALIMENTOS PARA HUMANOS</t>
  </si>
  <si>
    <t>2.3.2.3.01</t>
  </si>
  <si>
    <t>PRENDAS DE VESTIR</t>
  </si>
  <si>
    <t>2.3.2.4.01</t>
  </si>
  <si>
    <t>CALZADOS</t>
  </si>
  <si>
    <t>MATERIAL GASTABLE:</t>
  </si>
  <si>
    <t>2.2.2.2.01</t>
  </si>
  <si>
    <t>IMPRESIÓN Y ENCUDERNACION</t>
  </si>
  <si>
    <t>2.3.3.1.01</t>
  </si>
  <si>
    <t>PAPEL DE ESCRITORIO</t>
  </si>
  <si>
    <t>2.3.3.2.01</t>
  </si>
  <si>
    <t>PRODUCTOS DE PAPEL Y CARTON</t>
  </si>
  <si>
    <t>2.3.3.3.01</t>
  </si>
  <si>
    <t>PRODUCTOS DE ARTE GRAFICA</t>
  </si>
  <si>
    <t>2.3.9.1.01</t>
  </si>
  <si>
    <t>MATERIALES Y UTILES DE LIMPIEZA</t>
  </si>
  <si>
    <t>2.3.9.2.01</t>
  </si>
  <si>
    <t>MATERIALES Y UTILES DE OFICNA E INFORMATICA</t>
  </si>
  <si>
    <t>SERVICIOS PERSONALES:</t>
  </si>
  <si>
    <t>2.1.1.1.01</t>
  </si>
  <si>
    <t>SUELDOS FIJOS</t>
  </si>
  <si>
    <t>2.1.1.2.01</t>
  </si>
  <si>
    <t>SUELDOS PERSONAL CONTRATADO y/o IGUALADO</t>
  </si>
  <si>
    <t>2.1.1.1.04</t>
  </si>
  <si>
    <t>SUELDOS POR SERVICIOS ESPECIALES</t>
  </si>
  <si>
    <t>2.1.2.2.01</t>
  </si>
  <si>
    <t>COMPENSACION GASTOS ALIMENTACION</t>
  </si>
  <si>
    <t>2.1.2.3.01</t>
  </si>
  <si>
    <t>2.1.5.1.01</t>
  </si>
  <si>
    <t>CONTRIBUCIONES SEGURO SALUD</t>
  </si>
  <si>
    <t>2.1.5.2.01</t>
  </si>
  <si>
    <t>CONTRIBUCIONES SEGURO DE PENSIONES</t>
  </si>
  <si>
    <t>2.1.5.3.01</t>
  </si>
  <si>
    <t>incluye actividades del departamento de protocolo</t>
  </si>
  <si>
    <t>La sumatoria el menor que el total del material gastable proyectado</t>
  </si>
  <si>
    <t>Se considera un incremento de un 50% a la proyección del salario dado por Financiero del 2017 (de RD$ 678,129,449.71 )</t>
  </si>
  <si>
    <t>Enero -Diciembre</t>
  </si>
  <si>
    <t>POLICÍA NACIONAL REPÚBLICA DOMINICANA</t>
  </si>
  <si>
    <r>
      <t>FOCO ESTRATÉGICO</t>
    </r>
    <r>
      <rPr>
        <sz val="15"/>
        <color indexed="8"/>
        <rFont val="Arial"/>
        <family val="2"/>
      </rPr>
      <t>: CALIDAD DEL SERVICIO POLICIAL</t>
    </r>
  </si>
  <si>
    <t xml:space="preserve">META ESTRATÉGICA </t>
  </si>
  <si>
    <t>OBJETIVO</t>
  </si>
  <si>
    <t>INDICADOR</t>
  </si>
  <si>
    <t>LÍNEA BASE</t>
  </si>
  <si>
    <t>VALORES PLANEADOS</t>
  </si>
  <si>
    <t>CLASE</t>
  </si>
  <si>
    <t>1.TRIM</t>
  </si>
  <si>
    <t>2.TRIM</t>
  </si>
  <si>
    <t>3.TRIM</t>
  </si>
  <si>
    <t>4.TRIM</t>
  </si>
  <si>
    <t>Eficiencia</t>
  </si>
  <si>
    <t>Eficacia</t>
  </si>
  <si>
    <t xml:space="preserve">Aplicación de las normas de tránsito </t>
  </si>
  <si>
    <t>Motivación del personal</t>
  </si>
  <si>
    <t>Ingreso de agentes con relación a lo programado</t>
  </si>
  <si>
    <t>Aplicación de los procesos administrativos</t>
  </si>
  <si>
    <t>ESTRATEGIAS</t>
  </si>
  <si>
    <t>ACCIONES</t>
  </si>
  <si>
    <t>ACTIVIDADES</t>
  </si>
  <si>
    <t>PRODUCTOS</t>
  </si>
  <si>
    <t>TIEMPO</t>
  </si>
  <si>
    <t>RESPONSABLE</t>
  </si>
  <si>
    <t>RESULTADO DE LA ESTRATEGIA</t>
  </si>
  <si>
    <t>Línea de Acción:  Fortalecimiento Institucional</t>
  </si>
  <si>
    <t>Dirección General / Dirección de Recursos Humanos</t>
  </si>
  <si>
    <t>Mayor efectividad del servicio a nivel nacional</t>
  </si>
  <si>
    <t>Dirección General / Dirección Administrativa y Financiera</t>
  </si>
  <si>
    <t>Mayor operatividad en las funciones y eficiencia en la gestión institucional</t>
  </si>
  <si>
    <t>* Adquisición y distribución de propiedades, equipos de transporte, equipos de oficina y avituallamiento en general</t>
  </si>
  <si>
    <t xml:space="preserve">* Nómina actualizada </t>
  </si>
  <si>
    <t xml:space="preserve">Desarrollar competencias para el desempeño de sus funciones.   </t>
  </si>
  <si>
    <t>Dirección General / Departamento de Servicios de Salud</t>
  </si>
  <si>
    <t>Mejor calidad de vida en el personal de la institución</t>
  </si>
  <si>
    <t>* Personal reconocido y motivado</t>
  </si>
  <si>
    <t>Dirección General / Dirección Administrativa y Financiera / Dirección de Recursos Humanos / Departamento de Comunicaciones</t>
  </si>
  <si>
    <t>Línea de Acción:  Garantizar vias de tránsito seguras y eficientes</t>
  </si>
  <si>
    <t>Dirección General / Comandancias Regionales / Dirección de Planificación y Desarrollo / División de Estadística / Unidad de Relaciones Interinstitucionales</t>
  </si>
  <si>
    <t>Reducción de las muertes y lesiones e incidentes de tránsito. Vías más fluídas, eficientes y seguras</t>
  </si>
  <si>
    <t>Dirección General / Comandancias Regionales / Dirección de Planificación y Desarrollo / Departamento de Inteligencia Vial / Unidad de Relaciones Interinstitucionales</t>
  </si>
  <si>
    <t xml:space="preserve">Dirección General / Comandancias Regionales / Departamento de Inteligencia Vial </t>
  </si>
  <si>
    <t>* Reducción de los tiempos de respuestas para el servicio al Sistema Nacional de Atención a Emergencias 9-1-1</t>
  </si>
  <si>
    <t>Dirección General / Centro de Mando y Control (CEMACO) / Comandancias Regionales</t>
  </si>
  <si>
    <t>Dirección General / Dirección Administrativa y Financiera / Drección de Recursos Humanos / Dirección de Planificación y Desarrollo / Comandancias Regionales</t>
  </si>
  <si>
    <t xml:space="preserve">Línea de Acción: Fiscalizar el cumplimiento de las rutas de transporte público </t>
  </si>
  <si>
    <t>Vías más fluídas, eficientes y seguras con la recuperación de los espacios públicos</t>
  </si>
  <si>
    <t>Línea de Acción: Fortalecer el cumplimiento de la ley de tránsito</t>
  </si>
  <si>
    <t>2.7.8. Fortalecer los procesos para el cumplimiento de la ley a nivel nacional</t>
  </si>
  <si>
    <t>Efectividad en el cumplimiento de la ley</t>
  </si>
  <si>
    <t>Dirección General / Sección de Actas Comprobatorias</t>
  </si>
  <si>
    <t>PRESUPUESTO PARA LA ESTRATEGIA</t>
  </si>
  <si>
    <t>PRESUPUESTO TOTAL</t>
  </si>
  <si>
    <t>PROYECCIÓN 2018</t>
  </si>
  <si>
    <t>* Reducción de los puntos criticos y áreas vulnerables mediante la implementación de las medidas presentadas</t>
  </si>
  <si>
    <t>2.7.5.1. Realizar levantamiento a nivel nacional para la expansión del Sistema Nacional de Atención a Emergencias y Seguridad 9-1-1, con el fin de mejorar los servicios de viabilización</t>
  </si>
  <si>
    <t>DIRECCIÓN GENERAL DE SEGURIDAD DE TRÁNSITO Y TRANSPORTE TERRESTRE</t>
  </si>
  <si>
    <t>Implementar acciones que propicien la efectiva aplicación de la ley de tránsito y el cumplimiento objetivo de los procesos administrativos</t>
  </si>
  <si>
    <r>
      <t>OBJETIVO ESTRATÉGICO</t>
    </r>
    <r>
      <rPr>
        <sz val="15"/>
        <rFont val="Arial"/>
        <family val="2"/>
      </rPr>
      <t>: Implementar acciones que propicien la efectiva aplicación de la ley de tránsito y el cumplimiento objetivo de los procesos administrativos</t>
    </r>
  </si>
  <si>
    <t>Disminución de las demoras en la circulación mediante la aplicación de medidas de viabilizacón</t>
  </si>
  <si>
    <t>* Programas de seguimiento de salud e higiene laboral dirigidos a todo el personal de DIGESETT</t>
  </si>
  <si>
    <t>RESPONSABLE:  Dirección General de Seguridad de Tránsito y Transporte Terrestre, DIGESETT</t>
  </si>
  <si>
    <t>* Cumplimiento de la Ley 63-17
* Mejoras en la circulación</t>
  </si>
  <si>
    <t>Dirección General  / Comandancias Regionales / División de Investigación de Accidentes de Tránsito / Departamento de Análisis de Información</t>
  </si>
  <si>
    <r>
      <t xml:space="preserve">* </t>
    </r>
    <r>
      <rPr>
        <b/>
        <sz val="16"/>
        <rFont val="Arial"/>
        <family val="2"/>
      </rPr>
      <t>40</t>
    </r>
    <r>
      <rPr>
        <sz val="16"/>
        <rFont val="Arial"/>
        <family val="2"/>
      </rPr>
      <t xml:space="preserve"> levantamientos realizados con sus respectivas recomendaciones</t>
    </r>
  </si>
  <si>
    <t>Aumento de la cobertura territorial de personal</t>
  </si>
  <si>
    <t>Fortalecimiento de las capacidades técnicas y especializadas del personal</t>
  </si>
  <si>
    <t>Dirección General / Dirección de Desarrollo Humano / Direcciones Regionales / Escuela de Seguridad de Tránsito y Transporte Terrestre / Departamento de Servicios de Salud e Higiene Laboral</t>
  </si>
  <si>
    <t>Dirección General / Dirección de Desarrollo Humano / Escuela de Seguridad de Tránsito y Transporte Terrestre (ESETTT)</t>
  </si>
  <si>
    <t xml:space="preserve">* Gestionar e implementar las acciones formativas. </t>
  </si>
  <si>
    <t>Dirección General / Dirección de Recursos Humanos / Dirección Adm. Financiera /ESETT</t>
  </si>
  <si>
    <t xml:space="preserve">2.7.3.3. Gestionar cooperación interinstitucional en materia educativa </t>
  </si>
  <si>
    <r>
      <rPr>
        <sz val="16"/>
        <rFont val="Arial"/>
        <family val="2"/>
      </rPr>
      <t>* Formación Básica Policial y capacitación vial para personal de nuevo ingreso.</t>
    </r>
    <r>
      <rPr>
        <sz val="16"/>
        <color indexed="8"/>
        <rFont val="Arial"/>
        <family val="2"/>
      </rPr>
      <t xml:space="preserve">
* Formación en curso Básico de Capacitación Vial al personal en servicio DIGESETT.
* Inducción y capacitación vial al personal asignado desde la Policia Nacional y personal de nuevo ingreso.</t>
    </r>
  </si>
  <si>
    <t>2.7.1.2. Desarrollar programas de formación Básica Policial y capacitación vial.</t>
  </si>
  <si>
    <t xml:space="preserve">* Realizar el levantamiento de las logísticas necesarias para el entrenamiento de los agentes (de nuevo ingreso y de traslado)
* Gestionar la apropiación presupuestaria
* Realizar licitación pública </t>
  </si>
  <si>
    <t>Dirección General / Dirección de Desarrollo Humano  / Dirección de Planificación y Desarrollo</t>
  </si>
  <si>
    <r>
      <t>*</t>
    </r>
    <r>
      <rPr>
        <sz val="16"/>
        <rFont val="Arial"/>
        <family val="2"/>
      </rPr>
      <t xml:space="preserve"> Municipios</t>
    </r>
    <r>
      <rPr>
        <sz val="16"/>
        <rFont val="Arial"/>
        <family val="2"/>
      </rPr>
      <t xml:space="preserve"> levantados para la implementación del Sistema Nacional de Atención a Emergencias y Seguridad 9-1-1</t>
    </r>
  </si>
  <si>
    <t>* Personal concientizado y orientado en cuanto a salud e higiene laboral.</t>
  </si>
  <si>
    <t>Dirección General / Departamento de Servicios de Salud /Dirección Administrativa y Financiera / Dirección de Desarrollo Humanos</t>
  </si>
  <si>
    <t>2.7.4. Diseñar e implementar programas de seguridad y salud ocupacional que permitan disminuir los riesgos, accidentes y enfermedades en el personal de la DIGESETT</t>
  </si>
  <si>
    <t>2.7.4.3. Realizar programas de riesgo laboral</t>
  </si>
  <si>
    <t>* Programas de riesgo laboral dirigidos a todo el personal de DIGESETT</t>
  </si>
  <si>
    <t xml:space="preserve">*Realizar el levantamiento de todas las informaciones referentes a los accidentes de transito.                                                                                                                                        *Coordinar con entidades externas relacionadas        
* Creación de base de datos con el historial de los ciudadanos involucrados  en Accidentes de tránsito.                                                 </t>
  </si>
  <si>
    <t>* Herramientas tecnológicas
* Aplicación informatica integral
* Conectividad a Nivel Nacional</t>
  </si>
  <si>
    <t>* Coordinación con autoridades locales para realizar el levantamiento de la red vial
* Procesamiento de la información levantada para cuantificar el numero de agentes de la DIGESETT, asi como las herramientas necesarias
* Elaboración y remisión del informe con las propuestas a la Dirección General DIGESETT</t>
  </si>
  <si>
    <t>* Coordinación con autoridades locales y Comandantes DIGESETT asignados a las áreas a ser evaluadas para realizar el levantamiento
* Procesamiento de la información levantada y elaboración del informe
* Remisión del informe con las propuestas a la Dirección General DIGESETT</t>
  </si>
  <si>
    <t>* Remisión de informe con el levantamiento y las medidas a ser implementadas a los responsables de la ejecución 
* Coordinanación y asistencia con los agentes para la viabilización durante la implementación de las medidas propuestas</t>
  </si>
  <si>
    <t>* Inspección y supervisión de los recorridos de las rutas de transporte público de pasajeros urbanas e interurbanas
* Supervisar el exceso de pasajeros en unidades de transporte público 
* Realizar los levantamientos de datos para realizar el informe correspondiente. 
* Fiscalizar las rutas de transporte público en funcion de lo indicado en el infome</t>
  </si>
  <si>
    <t xml:space="preserve">* Cumplimiento de los perfiles de las rutas evaluadas </t>
  </si>
  <si>
    <t>* Mejoras en la circulación en el entorno a las paradas de transporte de pasajeros evaluadas</t>
  </si>
  <si>
    <t>Dirección General / Dirección de Planificación y Desarrollo / Direccion de Regulación de Transporte /Comandancias Regionales / Dirección de Desarrollo Humano</t>
  </si>
  <si>
    <t>2.7.5.2. Realizar levantamiento a nivel nacional con el fin de fortalecer los servicios de viabilización</t>
  </si>
  <si>
    <t>2.7.5.3. Coordinar con las instituciones responsables la implementación de las medidas para mejorar la viabilización en los puntos críticos y áreas vulnerables a nivel nacional</t>
  </si>
  <si>
    <t>* Realizar el levantamiento de las necesidades de propiedades, equipos de transporte, equipos de oficina y avituallamiento en general
* Verificar apropiación presupuestaria
* Licitación pública</t>
  </si>
  <si>
    <t>2.7.2.4. Adaptar, ampliar y remozar las infraestructuras de DIGESETT a nivel nacional</t>
  </si>
  <si>
    <t>2.7.3.2. Fortalecer las capacitacidades del personal de acuerdo a la evaluación de desempeño</t>
  </si>
  <si>
    <t xml:space="preserve">* Identificar las instituciones de colaboración 
* Elaboracion de acuerdo. </t>
  </si>
  <si>
    <t>* Acuerdo de colaboración con las instituciones</t>
  </si>
  <si>
    <t xml:space="preserve">* Priorizar la viabilización de los servicios de emergencias </t>
  </si>
  <si>
    <t xml:space="preserve">* Supervisar y fiscalizar el cumplimiento de lo establecido en dicha ley </t>
  </si>
  <si>
    <t>2.7.6.1. Desarrollar operativos de seguridad vial en eventos de movilidad masiva y durante la implementación de las medidas relativas a mejorar la viabilización</t>
  </si>
  <si>
    <t xml:space="preserve">2.7.7.1. Realizar levantamientos para el cumplimiento de los perfiles del transporte público
</t>
  </si>
  <si>
    <t>2.7.7.2. Realizar levantamientos en el entorno a las paradas de ascenso y descenso de pasajeros que obstruyan la circulación vehicular</t>
  </si>
  <si>
    <t xml:space="preserve">* Identificar la ocupación de los espacios públicos (calzadas y aceras) que afecten la circlación vehicular y peatonal
* Identificar las paradas de transporte publico que generan demoras y obstrucciones a la via por el estacionamiento.
* Realizar informe correspondiente para ser remitido a la Dirección General DIGESETT
* Fiscalizar el entorno de las paradas de transporte público de pasajeros evaluadas                                             </t>
  </si>
  <si>
    <t>2.7.7.3. Expandir la cobertura o alcance de la Direccion de Inspeccion de Transporte a las regionales del pais</t>
  </si>
  <si>
    <t>* Comunicación estrategica mediante el uso de los diferentes medios de comunicación y plataformas digitales</t>
  </si>
  <si>
    <t>* Elaboración e implementación del plan de operaciones</t>
  </si>
  <si>
    <t xml:space="preserve">* Reducción de incidentes de tránsito
* Mejora en la circulacion vehicular
* Incremento de la seguridad de los usuarios de las vias </t>
  </si>
  <si>
    <t xml:space="preserve">* Mejora en la circulacion vehicular
* Incremento de la seguridad de los usuarios de las vias 
* Mejora de las conductas viales </t>
  </si>
  <si>
    <t>* Inspección de transporte terrestre a nivel nacional</t>
  </si>
  <si>
    <t>* Mayor control de calidad del proceso de registro de las actas comprobatorias</t>
  </si>
  <si>
    <t>2.7.8.1. Ampliar la estructura de las áreas especializadas en investigación de accidentes de tránsito.</t>
  </si>
  <si>
    <t xml:space="preserve">* Gestionar el incremento del personal en las secciones existentes
* Gestionar la capacitación del personal en materia de investigación de accidentes de tránsito
* Gestionar la adquisición de los equipos y herramientas necesarias para realizar las investigaciones de accidentes de tránsito
* Recrear los accidentes de tránsito mediante el uso del sotfware de reconstrucción animada </t>
  </si>
  <si>
    <t>* Mejorar la pericia de los accidentes de tránsito
* Mejora en la documentación de la base de datos
* Mejorar los informes técnicos de la investigación de accidentes de tránsito</t>
  </si>
  <si>
    <t xml:space="preserve">* Gestionar el aumento del personal para el levantamiento de registro accidentes de tránsito
* Gestionar la capacitación del personal en el registro de actas de accidentes de tránsito
* Gestionar el suministro de equipos, transporte y herramientas tecnológicas
* Rediseñar el  formulario de registro de actas de accidentes de tránsito
* Elaborar el manual de procedimientos de la Dirección de Accidentes de Tránsito. </t>
  </si>
  <si>
    <t xml:space="preserve">* Personal capacitado en el registro de actas de accidentes de tránsito
* Formulario para el registro de actas de accidentes de tránsito
* Manual de procedimientos de la Dirección de Accidentes de Tránsito </t>
  </si>
  <si>
    <t>2.7.4.4. Creación de la UNAP Especializada</t>
  </si>
  <si>
    <t xml:space="preserve">* Gestionar el suministro de los equipos médicos y de transporte requeridos para una atencion primaria de segundo nivel
* Gestionar ante el Ministerio de Salud Pública el reconocimiento de la misma </t>
  </si>
  <si>
    <t>* UNAP DIGESETT</t>
  </si>
  <si>
    <t xml:space="preserve">2.7.1.1. Fortalecer la aplicación del proceso de reclutamiento y selección del personal. </t>
  </si>
  <si>
    <t>2.7.1. Reclutar y formar 1,000 personas para nuevo ingreso</t>
  </si>
  <si>
    <t>* 1,000 personas</t>
  </si>
  <si>
    <t>* 1,000 personas capacitadas</t>
  </si>
  <si>
    <t>2.7.1.3. Proveer las logísticas necesarias para el entrenamiento del personal de nuevo ingreso para agentes DIGESETT</t>
  </si>
  <si>
    <t>* Adquisición y distribución de las logísticas necesarias para el entrenamiento de 700 personas para agentes DIGESETT</t>
  </si>
  <si>
    <t>2.7.1.4. Proveer las logísticas necesarias para el personal de nuevo ingreso DIGESETT</t>
  </si>
  <si>
    <t xml:space="preserve">* Realizar el levantamiento de las logísticas necesarias para el personal de nuevo ingreso y de traslado
* Gestionar la apropiación presupuestaria
* Realizar licitación pública </t>
  </si>
  <si>
    <t xml:space="preserve">* Adquisición y distribución de las logísticas necesarias para 1,000 personas </t>
  </si>
  <si>
    <t>* Manual de cargos aprobado
* Manual de Funciones de aprobado                                                                                          
*Política de seguridad y salud ocupacional 
* Escala Salarial aprobada
*Implementación de los mismos</t>
  </si>
  <si>
    <t xml:space="preserve">* Levantamiento, evaluación, propuesta y presupuesto del área a intervenir
* Implementar el plan de capacitación y evacuación (incluir inspección de las condiciones del edificio DIGESETT)
* Diseñar y construir el archivo institucional
* Solicitud de aprobación de propuesta y autorización por parte de la Dirección General DIGESETT para la ejecución
* Verificar apropiación presupuestaria
* Implementación de las propuestas                         </t>
  </si>
  <si>
    <r>
      <t>* 71 infraestructuras adaptadas, remozadas</t>
    </r>
    <r>
      <rPr>
        <b/>
        <sz val="16"/>
        <rFont val="Arial"/>
        <family val="2"/>
      </rPr>
      <t xml:space="preserve"> </t>
    </r>
    <r>
      <rPr>
        <sz val="16"/>
        <rFont val="Arial"/>
        <family val="2"/>
      </rPr>
      <t>y seguras</t>
    </r>
  </si>
  <si>
    <t>* Regularizar la nómina de acuerdo al Manual de Cargos y Escala Salarial de DIGESETT</t>
  </si>
  <si>
    <t xml:space="preserve">* Personal evaluado </t>
  </si>
  <si>
    <t>* Personal capacitado</t>
  </si>
  <si>
    <t>* Implementar el modelo de evaluacion por competencia  
* Impartir talleres para los supervisores/encargados de áreas.
* Realizar las evaluaciones del desempeño para identificar las capacitaciones necesarias 
*Realizar promoción del personal como resultado de la evaluación del desempeño</t>
  </si>
  <si>
    <t xml:space="preserve">* Elaboración de los programas de reconocimiento y motivacional </t>
  </si>
  <si>
    <t xml:space="preserve">* Platafroma digital desarrollada para el Registro de Accidentes de Tránsito
</t>
  </si>
  <si>
    <t>DIRECCION GENERAL DE SEGURIDAD DE TRANSITO Y TRANSPORTE TERRESTRE</t>
  </si>
  <si>
    <t>(DIGESETT)</t>
  </si>
  <si>
    <t>MATRIZ DE NECESIDADES 2019</t>
  </si>
  <si>
    <t>Publicación del llamado de reclutamiento por todos los medios de comunicación</t>
  </si>
  <si>
    <t>Spot publicitario televisivo</t>
  </si>
  <si>
    <t>Spot publicitario radial</t>
  </si>
  <si>
    <t>Compra de pruebas psicometricas</t>
  </si>
  <si>
    <t>Compra de Sistema de corrección de pruebas psicometricas</t>
  </si>
  <si>
    <t>2.7.1. Reclutar y formar 1,000 agentes para nuevo ingreso</t>
  </si>
  <si>
    <t>Capacitación personal en la aplicación de pruebas psicometricas</t>
  </si>
  <si>
    <t>CINTA ADHESIVA</t>
  </si>
  <si>
    <t xml:space="preserve">POSTIT PEQUEÑOS </t>
  </si>
  <si>
    <t>POSTIT MEDIANOS</t>
  </si>
  <si>
    <t>Especialismo (Sueldos por 13 meses)</t>
  </si>
  <si>
    <t>Bultos tipo maletín con logo DIGESETT</t>
  </si>
  <si>
    <t>* Gestionar la aprobación del Manual de Cargos.
* Gestionar la aprobación del Manual de Funciones.     
* Gestionar la aprobación de la escala salarial.                                                                                                                              * Elaborar y gestionar la aprobacion de la política de seguridad y salud ocupacional 
*Divulgar e implementar dichos manuales.
* Aplicar los procedimientos de Gestión del Talento Humano
* Gestionar el desarrollo de un sistema informático para la gestión del talento humano</t>
  </si>
  <si>
    <t xml:space="preserve">Pc completa de gama alta con monitores de 27" </t>
  </si>
  <si>
    <t>Pc completa de gama media</t>
  </si>
  <si>
    <t>Gorra negra con su logo de DIGESETT</t>
  </si>
  <si>
    <t>Pares de medias gruesa</t>
  </si>
  <si>
    <t>Bultos / Mochila</t>
  </si>
  <si>
    <t>Baston extensible</t>
  </si>
  <si>
    <t>Tonfa</t>
  </si>
  <si>
    <t>Cinturón de policia (Richet completo)</t>
  </si>
  <si>
    <t>Equipo de protección personal (agentes Motorizado)</t>
  </si>
  <si>
    <t>Filtros nasales</t>
  </si>
  <si>
    <t>DESARROLLO DE SISTEMAS</t>
  </si>
  <si>
    <t>Abanicos de techo</t>
  </si>
  <si>
    <t>Abanicos de pared</t>
  </si>
  <si>
    <t>Extractores</t>
  </si>
  <si>
    <t>Memoria USB (16 y 32 gb)</t>
  </si>
  <si>
    <t>Rollo de Papel Bond (36 Pulg)</t>
  </si>
  <si>
    <t>Resmas papel 17 x 22</t>
  </si>
  <si>
    <t>Resmas papel 22 x 34</t>
  </si>
  <si>
    <t>Postit mediano verde</t>
  </si>
  <si>
    <t>Papel cartonite 8 1/2 x 11</t>
  </si>
  <si>
    <t>Formularios varios (estandarización de procesos)</t>
  </si>
  <si>
    <t>Toner para impresoras a color</t>
  </si>
  <si>
    <t>Toner para impresoras monocromatica</t>
  </si>
  <si>
    <t>Cinta para maquina de carnet</t>
  </si>
  <si>
    <t>Servilletas normales (paquetes)</t>
  </si>
  <si>
    <t>Vasos de 10 oz 50/1 paquetes</t>
  </si>
  <si>
    <t>Piedra de baño (ambientador)</t>
  </si>
  <si>
    <t>Camastro</t>
  </si>
  <si>
    <t>Muros new jersey Plasticos</t>
  </si>
  <si>
    <t>Barandas de protección</t>
  </si>
  <si>
    <t>2.7.2.4. Ampliar y remozar las infraestructuras de DIGESETT a nivel nacional</t>
  </si>
  <si>
    <t>Requerimientos para los levantamientos y estudios de factibilidad en las dotaciones, asi como espacios fisicos para la construcción de DIGESETT, de acuerdo a  las necesidades.</t>
  </si>
  <si>
    <t>Azada</t>
  </si>
  <si>
    <t>Coa doble</t>
  </si>
  <si>
    <t>Coa sencilla</t>
  </si>
  <si>
    <t>Motosoldadora</t>
  </si>
  <si>
    <t>Manguera de 100 pies</t>
  </si>
  <si>
    <t xml:space="preserve">Compresor </t>
  </si>
  <si>
    <t>Lavadoras</t>
  </si>
  <si>
    <t>Set sillas de visitas (3 sillas)</t>
  </si>
  <si>
    <t>Construccion archivo institucional</t>
  </si>
  <si>
    <t>Planta Eléctrica de 667 KW</t>
  </si>
  <si>
    <t>INCENTIVO</t>
  </si>
  <si>
    <t>CANTIDAD DE EMPLEADOS TOMADOS COMO MUESTRA</t>
  </si>
  <si>
    <t xml:space="preserve">CANTIDAD DE PERSONAL           </t>
  </si>
  <si>
    <t xml:space="preserve">MUESTRA TOMADA                     </t>
  </si>
  <si>
    <t>MONTO TOTAL  PARA GRATIFICACION ANUAL</t>
  </si>
  <si>
    <r>
      <t xml:space="preserve">SALARIOS TOMADOS COMO REFERENCIA, PARA CALCULAR EL </t>
    </r>
    <r>
      <rPr>
        <b/>
        <sz val="10"/>
        <color indexed="8"/>
        <rFont val="Calibri"/>
        <family val="2"/>
      </rPr>
      <t xml:space="preserve"> %</t>
    </r>
    <r>
      <rPr>
        <sz val="10"/>
        <color theme="1"/>
        <rFont val="Calibri"/>
        <family val="2"/>
        <scheme val="minor"/>
      </rPr>
      <t xml:space="preserve"> DE  LA CANTIDAD BASE DE GRATIFICACION  POR EMPLEADOS </t>
    </r>
  </si>
  <si>
    <t>2.7.3.4. Realizar programas de reconocimiento y motivacional a los miembros de la institución</t>
  </si>
  <si>
    <t>* 29 programas preventivos de salud e higiene laboral (Charlas, Jornadas, Operativos y Seguimiento)</t>
  </si>
  <si>
    <t xml:space="preserve">Estudio de salud ocupacional (seguridad, higiene industrial o laboral y  ergonomicos) </t>
  </si>
  <si>
    <t>* Levantamiento de riesgos laborales (seguridad, higiene industrial o laboral y  ergonomicos)  
*Prevencion de riesgos laborales (ergonomicos, higiene y seguridad) 
*Implementar mejoras para la reducción de riesgos laborales
* Gestionar la implementación del plan de capacitación y evacuación (incluir inspección de las condiciones del edificio DIGESETT)
* Creación de comité de seguridad y salud ocupacional</t>
  </si>
  <si>
    <t>2.7.5.4. Cumplir con la fiscalización en cuanto a la aplicación de la Ley 63-17</t>
  </si>
  <si>
    <t>2.7.5.5. Atender a las demandas de viabilización como apoyo al Sistema Nacional de Atención a Emergencias 9-1-1</t>
  </si>
  <si>
    <t xml:space="preserve">2.7.6.2.  Informar a los usuarios sobre viabilidad, incidentes y medidas a implementar </t>
  </si>
  <si>
    <t>Comunicación estrategica mediante el uso de los diferentes medios de comunicación y plataformas digitales</t>
  </si>
  <si>
    <t xml:space="preserve">Navidad </t>
  </si>
  <si>
    <t xml:space="preserve">Semana Santa </t>
  </si>
  <si>
    <t xml:space="preserve">Feria del Libro </t>
  </si>
  <si>
    <t>Cambio de imagen de personaje de DIGESETT</t>
  </si>
  <si>
    <t>Material informativo por cambios en patrones de circulación (información a la ciudadania)</t>
  </si>
  <si>
    <t>DIGESETT</t>
  </si>
  <si>
    <t>Incluye 1 para  DIGESETTRASAN</t>
  </si>
  <si>
    <t>Remozamiento, construcción, adquisición locales y mantenimiento Sedes Existentes de DIGESETT</t>
  </si>
  <si>
    <t>Se incluye el remozamiento de 24 sedes de DIGESETT  y mantenimiento de todas las infraestructuras (ver 2,7,4,3 (a)</t>
  </si>
  <si>
    <t>9 Sedes: (2) Ofic. Proc. De Accidentes (Tamboril-Tamayo) y (7) Sedes DIGESETT: Neyba, Elías Piña, Dajabón, Monte Plata, Las Matas de Farfán, Santiago Rodríguez, Bayahibe (VER 2,7,4,3 (b)</t>
  </si>
  <si>
    <t xml:space="preserve">Se considero capacitar en educacion continuada 2000 miembros de DIGESETT, esto implica 80 acciones formativas </t>
  </si>
  <si>
    <t xml:space="preserve">Remozamiento  DIGESETT-Oeste </t>
  </si>
  <si>
    <t>Remozamiento  DIGESETT-SFM</t>
  </si>
  <si>
    <t>Construcción  DIGESETT-SFM-CODAL</t>
  </si>
  <si>
    <t>Alquiler y/o compra  DIGESETT-Bonao</t>
  </si>
  <si>
    <t>Remozamiento  DIGESETT-Moca</t>
  </si>
  <si>
    <t xml:space="preserve">Remozamiento  DIGESETT-Bani </t>
  </si>
  <si>
    <t>Remozamiento  DIGESETT-Ocoa</t>
  </si>
  <si>
    <t>Remozamiento  DIGESETT-SJM</t>
  </si>
  <si>
    <t>Alquiler y remozamiento  DIGESETT-Hatillo San Cristóbal (DOCA)</t>
  </si>
  <si>
    <t xml:space="preserve">Remozamiento  DIGESETT-Hato Mayor </t>
  </si>
  <si>
    <t>Remozamiento  DIGESETT-La Romana</t>
  </si>
  <si>
    <t>Remozamiento  DIGESETT-Azua</t>
  </si>
  <si>
    <t>Remozamiento  DIGESETT-La Vega</t>
  </si>
  <si>
    <t>Remozamiento  DIGESETT-Sosua</t>
  </si>
  <si>
    <t>Remozamiento  DIGESETT-Navarrete</t>
  </si>
  <si>
    <t>Remozamiento  DIGESETT-Valverde, Mao</t>
  </si>
  <si>
    <t>Adquisición dotación   DIGESETT-Barahona</t>
  </si>
  <si>
    <t>Fumigación en General Sedes DIGESETT</t>
  </si>
  <si>
    <t>Alquileres y Servicios Sedes DIGESETT</t>
  </si>
  <si>
    <t>Mantenimiento Sede Central  DIGESETT</t>
  </si>
  <si>
    <t>Mantenimiento Sedes DIGESETT del interior</t>
  </si>
  <si>
    <t>REQUERIMIENTOS PARA  NUEVAS SEDE DIGESETT</t>
  </si>
  <si>
    <t>Creación de sedes DIGESETT y Ofic. Procedimiento Accidentes</t>
  </si>
  <si>
    <t xml:space="preserve">Requerimientos de la Direccion de Inspección de Transporte para las acciones: </t>
  </si>
  <si>
    <t>2.7.7.1. Realizar levantamientos para el cumplimiento de los perfiles del transporte público y 2.7.7.2. Realizar levantamientos en el entorno a las paradas de ascenso y descenso de pasajeros que obstruyan la circulación vehicular</t>
  </si>
  <si>
    <t>Resmas de Papel 8 1/2 x 11</t>
  </si>
  <si>
    <t>Lapiz de carbon 12/1</t>
  </si>
  <si>
    <t xml:space="preserve">Requerimientos de la Direccion de Planificación y Desarrollo para las acciones: </t>
  </si>
  <si>
    <t>2.7.5.1. Realizar levantamiento a nivel nacional para la expansión del Sistema Nacional de Atención a Emergencias y Seguridad 9-1-1, con el fin de mejorar los servicios de viabilización
2.7.5.2. Realizar levantamiento a nivel nacional con el fin de fortalecer los servicios de viabilización</t>
  </si>
  <si>
    <t>Memorias USB 32GB</t>
  </si>
  <si>
    <t>Dirección General / Dirección Administrativa y Financiera / Departamento de Tecnologia de la Información</t>
  </si>
  <si>
    <t>Dirección General / Dirección Administrativa y Financiera / Dirección de Desarrollo Humanos / Relaciones Interinstitucionales /  Consultoria Juridica / ESETT</t>
  </si>
  <si>
    <t>PLAN OPERATIVO ANUAL 2019</t>
  </si>
  <si>
    <t>* 10 programas de seguimiento de salud e higiene laboral (evaluaciones medicas periodicas y visitas)</t>
  </si>
  <si>
    <t>Dirección General / Dirección Administrativa y Financiera / Departamento de Comunicaciones / Comandancias Regionales</t>
  </si>
  <si>
    <t>* Gestionar el incremento, la capacitación y la asignación del personal a las diferentes comandancias regionales
* Gestionar el suministro de las herramientas y equipos tecnologicos y transporte a dicho personal en cada Comandancia Regional</t>
  </si>
  <si>
    <t>* Gestionar la capacitación del personal en el llenado de actas comprobatorias para el registro de infracciones
* Gestionar el aumento del personal administrativo de la Sección de Actas
* Crear códigos de seguridad para la entrega y recepción de talonarios
* Gestionar el desarrollo aplicación para el control de cargo y descargo de talonarios
* Gestionar la mejora de los talonarios de infracciones
* Gestionar el suministro de equipos, transporte y herramientas tecnológicas</t>
  </si>
  <si>
    <t>Dirección General / Dirección de Procedimiento de Accidentes de Tránsito / Direccion de Desarrollo Humano / Direccion Administrativa y Financiera / Departamento de Análisis de Información / ESETT / Departamento de Tecnologia de la Información</t>
  </si>
  <si>
    <t>Direccion General / Direccion Administrativa y Financiera / Direccion de Desarrollo Humano / Dirección de Procedimientos de Accidentes de Tránsito / Departamento de Tecnologia de la Información</t>
  </si>
  <si>
    <t>Material Gastable</t>
  </si>
  <si>
    <t>Caja de Rollo de Papel Bond 24"</t>
  </si>
  <si>
    <t>Caja de Rollo de Papel Bond 36"</t>
  </si>
  <si>
    <t>Resma de Papel Bond 11"x17"</t>
  </si>
  <si>
    <t>Resma de Papel Bond 8.5"x11"</t>
  </si>
  <si>
    <t>Resma de Papel Bond 22"x34"</t>
  </si>
  <si>
    <t xml:space="preserve">Caja de Bandas de Goma </t>
  </si>
  <si>
    <t>Caja de Clips tipo mariposa 2"</t>
  </si>
  <si>
    <t>Caja de Clips tipo mariposa 1"</t>
  </si>
  <si>
    <t>Covers para encueadernación transparentes 50/1</t>
  </si>
  <si>
    <t>Covers para encueadernación negro 50/1</t>
  </si>
  <si>
    <t>Espiral para encuadernación 1/4"</t>
  </si>
  <si>
    <t>Espiral para encuadernación 1/2"</t>
  </si>
  <si>
    <t>Espiral para encuadernación 1"</t>
  </si>
  <si>
    <t>Caja de Folders 8.5"x11"</t>
  </si>
  <si>
    <t>Caja de Lapicero Azul</t>
  </si>
  <si>
    <t xml:space="preserve">Caja de Lapiz 2H de Carbon </t>
  </si>
  <si>
    <t>Liquid Paper</t>
  </si>
  <si>
    <t>Caja de Postit</t>
  </si>
  <si>
    <t>Resaltadores Colores Variados</t>
  </si>
  <si>
    <t>Caja de Clips Grandes</t>
  </si>
  <si>
    <t>Caja de Clips Pequeños</t>
  </si>
  <si>
    <t>Carpeta de 4"</t>
  </si>
  <si>
    <t xml:space="preserve">Herramientas y Tecnologia </t>
  </si>
  <si>
    <t>Impresoroa formato 11"x17" Color</t>
  </si>
  <si>
    <t>Memoria USB 16GB</t>
  </si>
  <si>
    <t>Tinta plotter  HP DesignJet 111  NEGRO (CH565A)</t>
  </si>
  <si>
    <t>Tinta plotter  HP DesignJet 111  CIAN (C4836A)</t>
  </si>
  <si>
    <t>Tinta plotter  HP DesignJet 111  MAGENTA (C4837A)</t>
  </si>
  <si>
    <t>Tinta plotter  HP DesignJet 111  AMARILLO (C4838A)</t>
  </si>
  <si>
    <t>Tinta plotter HP DesignJet Z5600  NEGRO PK (F9J92A)</t>
  </si>
  <si>
    <t>Tinta plotter HP DesignJet Z5600  MAGENTA M (F9J89A)</t>
  </si>
  <si>
    <t>Tinta plotter HP DesignJet Z5600  AMARILLO Y (F9J90A)</t>
  </si>
  <si>
    <t>Tinta plotter HP DesignJet Z5600 CIAN C (F9J9IA)</t>
  </si>
  <si>
    <t>Tinta plotter HP DesignJet Z5600  NEGRO MK (F9J93A)</t>
  </si>
  <si>
    <t>Tinta plotter HP DesignJet Z5600 ROJO CR (F9J94A)</t>
  </si>
  <si>
    <t>Cabezal plotter  HP DesignJet 111  NEGRO (C4810A)</t>
  </si>
  <si>
    <t>Cabezal plotter  HP DesignJet 111  CIAN (C4811A)</t>
  </si>
  <si>
    <t>Cabezal plotter  HP DesignJet 111  MAGENTA (C4812A)</t>
  </si>
  <si>
    <t>Cabezal plotter  HP DesignJet 111  AMARILLO (C4813A)</t>
  </si>
  <si>
    <t>F9J86A Cabezal de impresión HP DesignJet 744 cian/negro fotográfico</t>
  </si>
  <si>
    <t xml:space="preserve">F9J87A Cabezal de impresión HP DesignJet 744, magenta/amarillo
</t>
  </si>
  <si>
    <t>F9J88A Cabezal de impresión HP DesignJet 744, negro mate/rojo cromático</t>
  </si>
  <si>
    <t>Tonners Impresoras hp laserjet p1102w</t>
  </si>
  <si>
    <t xml:space="preserve">Pantalla para proyeccion </t>
  </si>
  <si>
    <t>Camioneta</t>
  </si>
  <si>
    <t>Cámaras fotograficas digital NIKON de alta resolución, wifi, memoria 64 gb y flash digital</t>
  </si>
  <si>
    <t>Camara de Video</t>
  </si>
  <si>
    <t>Televisores plasma para monitoreo de noticias</t>
  </si>
  <si>
    <t>Radio para monitoreo de noticias</t>
  </si>
  <si>
    <t xml:space="preserve">Armario de metal </t>
  </si>
  <si>
    <t>Equipo de edición fotográfico</t>
  </si>
  <si>
    <t xml:space="preserve">Equipo de edición de video </t>
  </si>
  <si>
    <t>Mueble para visita</t>
  </si>
  <si>
    <t>Telefono celular gama alta</t>
  </si>
  <si>
    <t>Alquiler de sonido para actividades</t>
  </si>
  <si>
    <t>Pantalla led movil</t>
  </si>
  <si>
    <t>Juego de Manteleria</t>
  </si>
  <si>
    <t>Sillas plásticas sin brazos</t>
  </si>
  <si>
    <t>Juego de cristaleria</t>
  </si>
  <si>
    <t>Camionetas</t>
  </si>
  <si>
    <t>CONTRIBUCIONES SEGURO RIESGO LABORAL</t>
  </si>
  <si>
    <t>Ampliar la estructura de las áreas especializadas en investigación de accidentes de tránsito.</t>
  </si>
  <si>
    <t>2.7.8.2. Fortalecer los controles para el levantamiento y documentación de infracciones</t>
  </si>
  <si>
    <t>2.7.8.3. Estandarizar los procesos para el registro de actas de accidentes de tránsito</t>
  </si>
  <si>
    <t>2.7.8.4. Desarrollar Software tecnológico que permita el registro homogéneo e integral de las Actas de Accidentes de Transito en linea a Nivel Nacional</t>
  </si>
  <si>
    <t>Mesas para buffet</t>
  </si>
  <si>
    <t>Power suply.</t>
  </si>
  <si>
    <t>Laptop con sus interface, para programar radios.</t>
  </si>
  <si>
    <t>Móviles y portátiles</t>
  </si>
  <si>
    <t>Baterías para radios Motorola modelo moto turbo DGP-8050.</t>
  </si>
  <si>
    <t xml:space="preserve">Antenas para radio Motorola DGP-8050  </t>
  </si>
  <si>
    <t>Antenas para radios ICOM.</t>
  </si>
  <si>
    <t>Baterías para radios ICOM.</t>
  </si>
  <si>
    <t>Fuentes de 3 ampere.</t>
  </si>
  <si>
    <t>Baterías para radios modelo PRO 5150.</t>
  </si>
  <si>
    <t>Baterías para radios modelo EP-450.</t>
  </si>
  <si>
    <t>Repetidoras (RPT) completas.</t>
  </si>
  <si>
    <t>Antenas móviles para vehículos.</t>
  </si>
  <si>
    <t>Bases tipo L.</t>
  </si>
  <si>
    <t>PL259.</t>
  </si>
  <si>
    <t>Celulares inteligentes.</t>
  </si>
  <si>
    <t>Caja de herramientas.</t>
  </si>
  <si>
    <t>Taladro de pared.</t>
  </si>
  <si>
    <t>Taladro de baterías.</t>
  </si>
  <si>
    <t>Vatímetro.</t>
  </si>
  <si>
    <t>Contador de frecuencia.</t>
  </si>
  <si>
    <t>Rollo de cable RG58.</t>
  </si>
  <si>
    <t>Rollo de cable RG59.</t>
  </si>
  <si>
    <t>Soldadores de precisión.</t>
  </si>
  <si>
    <t>Rollos de estaño.</t>
  </si>
  <si>
    <t xml:space="preserve">Rollos de tape. </t>
  </si>
  <si>
    <t>Rollos de make tape.</t>
  </si>
  <si>
    <t>Paquetes de tai rac.</t>
  </si>
  <si>
    <t>Tester.</t>
  </si>
  <si>
    <t>Requerimiento del Departamento de Telecomunicaciones para el año 2019</t>
  </si>
  <si>
    <t>Equipos y herramientas de telecomunicaciones</t>
  </si>
  <si>
    <t>Cámara fotograficas con bluetooth</t>
  </si>
  <si>
    <t>Requerimiento CEMACO para el año 2019</t>
  </si>
  <si>
    <t>Monitores de 56 pulgadas</t>
  </si>
  <si>
    <t>Bota de lluvias</t>
  </si>
  <si>
    <t>Corbata</t>
  </si>
  <si>
    <t>Pares de zapatos</t>
  </si>
  <si>
    <t>Pito con su porta pito y cadena</t>
  </si>
  <si>
    <t>Guante blanco</t>
  </si>
  <si>
    <t>Juego sellos de mangas DIGESETT y banderas</t>
  </si>
  <si>
    <t>Linternas reflectivas</t>
  </si>
  <si>
    <t>Camisa mangas larga</t>
  </si>
  <si>
    <t>Camisa manga corta</t>
  </si>
  <si>
    <t>Restructuración del cableado de red (interconexion de 14 provincias y central telefonica de vox/IP)</t>
  </si>
  <si>
    <t>Proyecto de Desarrollo de Sistema Integral de Gestión Institucional</t>
  </si>
  <si>
    <t>Nomina</t>
  </si>
  <si>
    <t>Asuntos Legales</t>
  </si>
  <si>
    <t>Compras</t>
  </si>
  <si>
    <t>Servicio de Salud</t>
  </si>
  <si>
    <t xml:space="preserve">Inspectoria </t>
  </si>
  <si>
    <t>Transportación</t>
  </si>
  <si>
    <t>Almacen / Inventario</t>
  </si>
  <si>
    <t>Cuentas por Pagar</t>
  </si>
  <si>
    <t>Cuentas por Cobrar</t>
  </si>
  <si>
    <t>Activo Fijo</t>
  </si>
  <si>
    <t>Gestión Documental</t>
  </si>
  <si>
    <t xml:space="preserve">Scanner </t>
  </si>
  <si>
    <t>Baterias para Sistema de Respaldo Energético, UPS APC Back-up Pro 14 KVA</t>
  </si>
  <si>
    <t>* Realizar el levantamiento de las necesidades tecnológicas (conectividad y alcance) para la adquisición de las mismas
* Adquisición de equipos de energia de back up para el centro de datos
* Desarrollo de aplicación informatica integral 
* Restructuración del cableado de red
* Verificar apropiación presupuestaria
* Licitación pública</t>
  </si>
  <si>
    <t>Insecticida</t>
  </si>
  <si>
    <t>Ornato</t>
  </si>
  <si>
    <t xml:space="preserve">Botas para agentes motorizados </t>
  </si>
  <si>
    <t>Juego de cuberteria</t>
  </si>
  <si>
    <t>Carpas 12`x12`</t>
  </si>
  <si>
    <t>Material Gastable para Cursos de Formación Contínua en la Escuela de Seguridad de Tránsito y Transporte Terrestre</t>
  </si>
  <si>
    <t>Propiedades adecuadas para la realización de las tareas asignadas, en proceso de entrenamiento.</t>
  </si>
  <si>
    <t>Propiedades necesarias para el entrenamiento.</t>
  </si>
  <si>
    <t>2.7.6.2. Comunicación estrategica mediante el uso de los diferentes medios de comunicación y plataformas digitales</t>
  </si>
  <si>
    <t xml:space="preserve">Otros eventos </t>
  </si>
  <si>
    <t xml:space="preserve"> MATERIAL INFORMATIVO</t>
  </si>
  <si>
    <t>Colposcopío</t>
  </si>
  <si>
    <t>Pinza Foster</t>
  </si>
  <si>
    <t>Pinza Kelly Recta</t>
  </si>
  <si>
    <t>Pinza Kelly Curva</t>
  </si>
  <si>
    <t>Pinza Garfio</t>
  </si>
  <si>
    <t>Pinza de disección con diente</t>
  </si>
  <si>
    <t>Pinza de disección sin diente</t>
  </si>
  <si>
    <t>Pinza kervorkie</t>
  </si>
  <si>
    <t>Especulo de metal</t>
  </si>
  <si>
    <t>Especulo de plástico</t>
  </si>
  <si>
    <t>Legra endocervical</t>
  </si>
  <si>
    <t>Bandeja de mayo</t>
  </si>
  <si>
    <t>Autoclave</t>
  </si>
  <si>
    <t xml:space="preserve">Espéculos desechables caja de 100 </t>
  </si>
  <si>
    <t>Guantes caja de 100</t>
  </si>
  <si>
    <t>CitoBrus caja de 100</t>
  </si>
  <si>
    <t>Espátula de Aire caja de 100</t>
  </si>
  <si>
    <t>Papanicolaou en base liquida</t>
  </si>
  <si>
    <t>Vacuna</t>
  </si>
  <si>
    <t>Adn Hpv</t>
  </si>
  <si>
    <t>Anticonceptivos orales</t>
  </si>
  <si>
    <t>Dispositivo Intrauterino (DIU)</t>
  </si>
  <si>
    <t>Implanom</t>
  </si>
  <si>
    <t>Preservativos</t>
  </si>
  <si>
    <t xml:space="preserve">rollos de papel sonografia </t>
  </si>
  <si>
    <t>rollos papel camilla</t>
  </si>
  <si>
    <t>rollos papel toalla</t>
  </si>
  <si>
    <t>galón gel sonografia</t>
  </si>
  <si>
    <t>caja preservativos</t>
  </si>
  <si>
    <t>SONOSCAPE S6</t>
  </si>
  <si>
    <t>Equipo de Sonografia Alquiler equipo por día</t>
  </si>
  <si>
    <t xml:space="preserve">Colorímetro </t>
  </si>
  <si>
    <t xml:space="preserve">Tanque cloro granulado 40 kg </t>
  </si>
  <si>
    <t xml:space="preserve">determinación plomo en sangre </t>
  </si>
  <si>
    <t xml:space="preserve">Maquina elíptica </t>
  </si>
  <si>
    <t xml:space="preserve">Caminadora </t>
  </si>
  <si>
    <t xml:space="preserve">Bicicleta estacionaria </t>
  </si>
  <si>
    <t>Bebedero de agua</t>
  </si>
  <si>
    <t>Porta toallas</t>
  </si>
  <si>
    <t xml:space="preserve">CAMILLA  </t>
  </si>
  <si>
    <t xml:space="preserve">Set Diagnostico (Otoscopio, Oftalmoscopio) </t>
  </si>
  <si>
    <t>Escritorio metálico</t>
  </si>
  <si>
    <t>Sillón para escritorio</t>
  </si>
  <si>
    <t xml:space="preserve">Sillas corridas de 4 </t>
  </si>
  <si>
    <t>Aire acondicionado</t>
  </si>
  <si>
    <t xml:space="preserve">Negatoscopio Led </t>
  </si>
  <si>
    <t>Vitrina Hamilton</t>
  </si>
  <si>
    <t>Archivo metálico 4 gavetas</t>
  </si>
  <si>
    <t>Nebulizador</t>
  </si>
  <si>
    <t>Esfigmomanómetro pared</t>
  </si>
  <si>
    <t>Glucómetro Tru resot</t>
  </si>
  <si>
    <t>Báscula Adulto (peso) Deteco</t>
  </si>
  <si>
    <t>Computadora</t>
  </si>
  <si>
    <t>Tanque de Oxígeno pequeño</t>
  </si>
  <si>
    <t>Kit de cirugía menor</t>
  </si>
  <si>
    <t>Lámpara cuello de Ganso</t>
  </si>
  <si>
    <t xml:space="preserve">Mampara </t>
  </si>
  <si>
    <t>Extintor</t>
  </si>
  <si>
    <t>Sillas corridas de 4</t>
  </si>
  <si>
    <t xml:space="preserve">Counter </t>
  </si>
  <si>
    <t>Dispensadores de manos limpias</t>
  </si>
  <si>
    <t xml:space="preserve">Esfigmomanómetro móvil </t>
  </si>
  <si>
    <t xml:space="preserve">Tanque Oxigeno grande </t>
  </si>
  <si>
    <t xml:space="preserve">Nebulizador </t>
  </si>
  <si>
    <t xml:space="preserve">Botiquín de primero auxilios </t>
  </si>
  <si>
    <t>Glucómetro</t>
  </si>
  <si>
    <t>Oximetro</t>
  </si>
  <si>
    <t xml:space="preserve">Zafacones acero inoxidable grande </t>
  </si>
  <si>
    <t xml:space="preserve">Esfigmomanómetro de pared </t>
  </si>
  <si>
    <t xml:space="preserve">Oximetros </t>
  </si>
  <si>
    <t xml:space="preserve">Lámpara cuello de Ganso </t>
  </si>
  <si>
    <t xml:space="preserve">Dispensadores de manos limpias </t>
  </si>
  <si>
    <t xml:space="preserve">Zafacones acero inoxidable mediano </t>
  </si>
  <si>
    <t xml:space="preserve">Dispensador de manos limpias </t>
  </si>
  <si>
    <t>Puerta corrediza</t>
  </si>
  <si>
    <t>Porta papel toalla</t>
  </si>
  <si>
    <t>Ford Econoliner E-350 , Ford Tipo 3 (Oil Fuel, Gasoil)</t>
  </si>
  <si>
    <t>Gasto Trimestral</t>
  </si>
  <si>
    <t>Total al año</t>
  </si>
  <si>
    <t>Jornadas Odontológicas Regionales</t>
  </si>
  <si>
    <t>Televisores SMART TV 4K 42"</t>
  </si>
  <si>
    <t>Maquina de engrase</t>
  </si>
  <si>
    <t>Maquina lavado a presion</t>
  </si>
  <si>
    <t>Caja de herramientas</t>
  </si>
  <si>
    <t>Gato hidraulico</t>
  </si>
  <si>
    <t>Taladro industrial</t>
  </si>
  <si>
    <t>Maquina de torno</t>
  </si>
  <si>
    <t>Maquina electrica de soldadura</t>
  </si>
  <si>
    <t>Gruas</t>
  </si>
  <si>
    <t>Motocicletas</t>
  </si>
  <si>
    <t>Equipo de reparacion de neumaticos</t>
  </si>
  <si>
    <t>Centro de alineacion y balanceo</t>
  </si>
  <si>
    <t xml:space="preserve">                             AUTORIDAD METROPOLITANA DE TRANSPORTE</t>
  </si>
  <si>
    <t xml:space="preserve">                            REPARACION Y MANTENIMIENTO PREVENTIVO</t>
  </si>
  <si>
    <t>Periodo de aplicación cada 6 meses</t>
  </si>
  <si>
    <t>Cant/Veh.</t>
  </si>
  <si>
    <t xml:space="preserve">             RELACION DE VEHICULO</t>
  </si>
  <si>
    <t>Cantidad</t>
  </si>
  <si>
    <t>Tipo</t>
  </si>
  <si>
    <t>Valor</t>
  </si>
  <si>
    <t>Goma</t>
  </si>
  <si>
    <t>Unitario</t>
  </si>
  <si>
    <t xml:space="preserve">FORD </t>
  </si>
  <si>
    <t>EXPLORE</t>
  </si>
  <si>
    <t>JEEP</t>
  </si>
  <si>
    <t>1998 ,2007</t>
  </si>
  <si>
    <t>285/65R-17</t>
  </si>
  <si>
    <t>DAIHATSU</t>
  </si>
  <si>
    <t>TERIOS</t>
  </si>
  <si>
    <t>205/70R-15</t>
  </si>
  <si>
    <t>HYUNDAI</t>
  </si>
  <si>
    <t>TUCSON</t>
  </si>
  <si>
    <t>215/75R-15</t>
  </si>
  <si>
    <t xml:space="preserve">TOYOTA </t>
  </si>
  <si>
    <t>PRADO</t>
  </si>
  <si>
    <t>265/70R-16</t>
  </si>
  <si>
    <t>LAND ROVER</t>
  </si>
  <si>
    <t>DEFENDER</t>
  </si>
  <si>
    <t xml:space="preserve">NISSAN </t>
  </si>
  <si>
    <t>TERRANO</t>
  </si>
  <si>
    <t>245/70R-16</t>
  </si>
  <si>
    <t>TOYOTA</t>
  </si>
  <si>
    <t>LAND CRUISER</t>
  </si>
  <si>
    <t>SUZUKI</t>
  </si>
  <si>
    <t>YIMMY</t>
  </si>
  <si>
    <t>P195/65/R15</t>
  </si>
  <si>
    <t>4RUNNER</t>
  </si>
  <si>
    <t xml:space="preserve">KIA </t>
  </si>
  <si>
    <t>GRAND SPORTAGE</t>
  </si>
  <si>
    <t>235/60R-16</t>
  </si>
  <si>
    <t>CARRETONES</t>
  </si>
  <si>
    <t>MARCA</t>
  </si>
  <si>
    <t>MODELO</t>
  </si>
  <si>
    <t>TIPO</t>
  </si>
  <si>
    <t>AÑO</t>
  </si>
  <si>
    <t>CABSTAR</t>
  </si>
  <si>
    <t>GRUA</t>
  </si>
  <si>
    <t>205/R16</t>
  </si>
  <si>
    <t>MITSUBICHI</t>
  </si>
  <si>
    <t>FUSO</t>
  </si>
  <si>
    <t>7.50/R16</t>
  </si>
  <si>
    <t>ISUZU</t>
  </si>
  <si>
    <t>NQR71K-22</t>
  </si>
  <si>
    <t>20015/2016</t>
  </si>
  <si>
    <t>7.00/16LT</t>
  </si>
  <si>
    <t>PETIBON</t>
  </si>
  <si>
    <t>INTERNACIONAL</t>
  </si>
  <si>
    <t>GRUA PETIBON</t>
  </si>
  <si>
    <t>315/80/R22.5</t>
  </si>
  <si>
    <t>900R20</t>
  </si>
  <si>
    <t>AMBULANCIA</t>
  </si>
  <si>
    <t>205R16</t>
  </si>
  <si>
    <t xml:space="preserve">CABSTAR </t>
  </si>
  <si>
    <t>CAMION</t>
  </si>
  <si>
    <t>ATLEON 120</t>
  </si>
  <si>
    <t>900/R-20</t>
  </si>
  <si>
    <t>HD-65</t>
  </si>
  <si>
    <t>7.00R16LT</t>
  </si>
  <si>
    <t>NPR71H-26</t>
  </si>
  <si>
    <t>DODGE</t>
  </si>
  <si>
    <t>RAM2500</t>
  </si>
  <si>
    <t>CAMIONETA DE CARGA</t>
  </si>
  <si>
    <t>FRONTIER</t>
  </si>
  <si>
    <t>2008/15/16/17</t>
  </si>
  <si>
    <t>TROY</t>
  </si>
  <si>
    <t>ADMIRAL</t>
  </si>
  <si>
    <t>FORD</t>
  </si>
  <si>
    <t>RANGER</t>
  </si>
  <si>
    <t>265/65R-17</t>
  </si>
  <si>
    <t>DONGFENG</t>
  </si>
  <si>
    <t>HILUX</t>
  </si>
  <si>
    <t>2010/11/13/15/16</t>
  </si>
  <si>
    <t>MAZDA</t>
  </si>
  <si>
    <t>BT-50</t>
  </si>
  <si>
    <t>2007/14/17</t>
  </si>
  <si>
    <t>215/70R-15</t>
  </si>
  <si>
    <t>IVECO</t>
  </si>
  <si>
    <t>AUTOBUS</t>
  </si>
  <si>
    <t>URBAN</t>
  </si>
  <si>
    <t>195/65R15</t>
  </si>
  <si>
    <t xml:space="preserve">HONDA </t>
  </si>
  <si>
    <t>CIVIC</t>
  </si>
  <si>
    <t>CARRO</t>
  </si>
  <si>
    <t>COROLLA</t>
  </si>
  <si>
    <t>CAMRY</t>
  </si>
  <si>
    <t>traseras y delanteras</t>
  </si>
  <si>
    <t>KUBOTA</t>
  </si>
  <si>
    <t>TRACTOR</t>
  </si>
  <si>
    <t>7.00-16LT  /  5.00-12</t>
  </si>
  <si>
    <t>TOTAL COMPRA DE GOMAS PARA VEHICULOS</t>
  </si>
  <si>
    <t>DETALLE DE  VEHICULO EN FUNCIONAMIENTO</t>
  </si>
  <si>
    <t>GRUAS NISSAN CABSTAR</t>
  </si>
  <si>
    <t>GRUAS MITSUBISHI FUSO</t>
  </si>
  <si>
    <t xml:space="preserve"> GRUA NISSAN CABSTAR AMBULANCIA</t>
  </si>
  <si>
    <t>GRUAS ISUZU</t>
  </si>
  <si>
    <t>PETIBON INTERNACIONAL</t>
  </si>
  <si>
    <t xml:space="preserve"> NISSAN CABSTAR PETIBON</t>
  </si>
  <si>
    <t>CAMION  HYUNDAI</t>
  </si>
  <si>
    <t>CAMION ISUZU</t>
  </si>
  <si>
    <t>CAMION NISSAN CABSTAR</t>
  </si>
  <si>
    <t>CAMIONETAS</t>
  </si>
  <si>
    <t>MINIBUS</t>
  </si>
  <si>
    <t>CARROS</t>
  </si>
  <si>
    <t>SUB-TOTAL VEHICULO EN FUNCIONAMIENTO</t>
  </si>
  <si>
    <t>Semestral</t>
  </si>
  <si>
    <t>REPARACION Y MANTENIMIENTO PREVENTIVO</t>
  </si>
  <si>
    <t>Cant.</t>
  </si>
  <si>
    <t xml:space="preserve">Valor </t>
  </si>
  <si>
    <t>RERACION COMPLETA DE VEHICULOS</t>
  </si>
  <si>
    <t>MICAS TRASERAS Y DELANTERAS</t>
  </si>
  <si>
    <t>DIRECCIONALES TRASERAS Y DELANTERAS</t>
  </si>
  <si>
    <t>BOMBILLOS</t>
  </si>
  <si>
    <t>CABLE GUINCHE PARA GRUAS</t>
  </si>
  <si>
    <t>LIMPIA VIDRIOS</t>
  </si>
  <si>
    <t>BATERIAS PARA GRUAS</t>
  </si>
  <si>
    <t>BATERIAS PARA JEEP</t>
  </si>
  <si>
    <t>BATERIAS PARA CAMIONETAS</t>
  </si>
  <si>
    <t xml:space="preserve">LAVADO DE VEHICULOS </t>
  </si>
  <si>
    <t>REPARACION DE NEUMATICOS</t>
  </si>
  <si>
    <t>Anual</t>
  </si>
  <si>
    <t>Tipo de Mantenimiento</t>
  </si>
  <si>
    <t>Tanque</t>
  </si>
  <si>
    <t>Cambio de aceite (ACEITE  W-50)</t>
  </si>
  <si>
    <t>Cambio de aceite (ACEITE  W-40)</t>
  </si>
  <si>
    <t>Cambio de COOLANT  (Galones)</t>
  </si>
  <si>
    <t>Camnio Filtro de aceite</t>
  </si>
  <si>
    <t xml:space="preserve">LIQUIDO DE FRENOS </t>
  </si>
  <si>
    <t>GRASA DE TRANSMISION MECANICA</t>
  </si>
  <si>
    <t>Cambio de Filtro de aire</t>
  </si>
  <si>
    <t xml:space="preserve">ALINEACION Y BALANCEO </t>
  </si>
  <si>
    <t>SOPLETEO DE MOTOR</t>
  </si>
  <si>
    <t>Trismetral</t>
  </si>
  <si>
    <t>Cambio de aceite Hidraulico para  gruas</t>
  </si>
  <si>
    <t xml:space="preserve">Cambio de aceite  (ACEITE  W-40) a motores </t>
  </si>
  <si>
    <t>TOTAL CAMBIO DE ACEITE</t>
  </si>
  <si>
    <t xml:space="preserve">ROTULACIONES DE VEHICULOS </t>
  </si>
  <si>
    <t>ROTULACION DE 198 VEHICULOS</t>
  </si>
  <si>
    <t>ROTULACION DE 492  MOTOCICLETAS</t>
  </si>
  <si>
    <t xml:space="preserve">     RELACION DE MOTOCICLETAS EN FUNCIONAMIENTO</t>
  </si>
  <si>
    <t>CILINDRAJE</t>
  </si>
  <si>
    <t>HONDA</t>
  </si>
  <si>
    <t>*****</t>
  </si>
  <si>
    <t>125CC</t>
  </si>
  <si>
    <t>XL</t>
  </si>
  <si>
    <t>650CC</t>
  </si>
  <si>
    <t>250CC</t>
  </si>
  <si>
    <t>150CC</t>
  </si>
  <si>
    <t>LONCIN</t>
  </si>
  <si>
    <t>LX200GY-3</t>
  </si>
  <si>
    <t>SM/CPI</t>
  </si>
  <si>
    <t>SANGYANG</t>
  </si>
  <si>
    <t>125M/P150M</t>
  </si>
  <si>
    <t>YAMAHA</t>
  </si>
  <si>
    <t xml:space="preserve">YAMAHA  </t>
  </si>
  <si>
    <t>SR-250</t>
  </si>
  <si>
    <t>XTZ125</t>
  </si>
  <si>
    <t>160CC</t>
  </si>
  <si>
    <t>DT</t>
  </si>
  <si>
    <t>2002/11</t>
  </si>
  <si>
    <t>X-1000</t>
  </si>
  <si>
    <t>CG-125</t>
  </si>
  <si>
    <t>HAO JUE</t>
  </si>
  <si>
    <t>HJ125-7 SPORT</t>
  </si>
  <si>
    <t>ZONGSHEN</t>
  </si>
  <si>
    <t>DOMOTO</t>
  </si>
  <si>
    <t>AX-100</t>
  </si>
  <si>
    <t>KEEWAY</t>
  </si>
  <si>
    <t>TX200</t>
  </si>
  <si>
    <t>200CC</t>
  </si>
  <si>
    <t xml:space="preserve">     REPARACION Y MANTENIMIENTO DE MOTOCICLETAS </t>
  </si>
  <si>
    <t>Periodo de aplicación trimestral</t>
  </si>
  <si>
    <t>valor</t>
  </si>
  <si>
    <t>delanteras / traseras</t>
  </si>
  <si>
    <t>unitario</t>
  </si>
  <si>
    <t>MOTOCICLETA</t>
  </si>
  <si>
    <t>90/90/19-110/90/17</t>
  </si>
  <si>
    <t>90/90/21-190/17</t>
  </si>
  <si>
    <t>90/90/21-120/90/18</t>
  </si>
  <si>
    <t>120/90/18-90/90/21</t>
  </si>
  <si>
    <t>130/70/17-110/70/17</t>
  </si>
  <si>
    <t>90/90/17-90/90/18</t>
  </si>
  <si>
    <t>120/18-12017</t>
  </si>
  <si>
    <t>90/90/21-100/90/18</t>
  </si>
  <si>
    <t>600CC</t>
  </si>
  <si>
    <t>120/18-120/17</t>
  </si>
  <si>
    <t>1100CC</t>
  </si>
  <si>
    <t>190/19-190/18</t>
  </si>
  <si>
    <t>3.00/17-2.72/17</t>
  </si>
  <si>
    <t>3.00/18-2.75/18</t>
  </si>
  <si>
    <t>3.00/11-90/90-21</t>
  </si>
  <si>
    <t>Periodo de aplicacióntrimestral</t>
  </si>
  <si>
    <t>TUBOS</t>
  </si>
  <si>
    <t>delanteros/traseros</t>
  </si>
  <si>
    <t>90/90/19-300/18</t>
  </si>
  <si>
    <t>90/90/21-250/17</t>
  </si>
  <si>
    <t>90/90/21-90/90/18</t>
  </si>
  <si>
    <t>90/90/19-300/17</t>
  </si>
  <si>
    <t>90/90/1/-90/90/17</t>
  </si>
  <si>
    <t>90/90/18-250/17</t>
  </si>
  <si>
    <t>90/90/21/-300/18</t>
  </si>
  <si>
    <t>90/90/21-300/18</t>
  </si>
  <si>
    <t>90/90/19-250-18</t>
  </si>
  <si>
    <t>90/90/21-250/18</t>
  </si>
  <si>
    <t>90/90/17-90/90-17</t>
  </si>
  <si>
    <t>BATERIAS/ SEMESTRAL</t>
  </si>
  <si>
    <t xml:space="preserve"> DIRECCIONALES DELANTERO Y TRASEROS/ TRIMESTAL</t>
  </si>
  <si>
    <t>FAROLES DELANTEROS Y TRASEROS/ TRIMESTRAL</t>
  </si>
  <si>
    <t>BOMBILLOS/TRIMESTRAL</t>
  </si>
  <si>
    <t>PEDAL DE ENCENDIDO/ TRIMESTRAL</t>
  </si>
  <si>
    <t>DISCO DE FRENOS/ SEMESTRAL</t>
  </si>
  <si>
    <t>DISCO DE CLOCHE / TRIMESTRAL</t>
  </si>
  <si>
    <t>ESPEJOS RETROVISORES / TRIMESTRAL</t>
  </si>
  <si>
    <t>BANDAS DELANTERAS/ TRIMESTRAL</t>
  </si>
  <si>
    <t>BANDASTRASERASERAS/ TRIMESTRAL</t>
  </si>
  <si>
    <t>BUJIAS/ TRIMESTRAL</t>
  </si>
  <si>
    <t>SEPARADORES DE DISCO DE CLOCHE/ TRIMESTRAL</t>
  </si>
  <si>
    <t>BOMBA DE FRENOS/ SEMESTRAL</t>
  </si>
  <si>
    <t>MANECILLAS DE FRENOS/ TRIMESTAL</t>
  </si>
  <si>
    <t>MANECILLAS DE CLOCHE/ TRIMESTRAL</t>
  </si>
  <si>
    <t>GUARDALODOS/ SEMESTRAL</t>
  </si>
  <si>
    <t>JUEGO DE PISTON Y ANILLAS/ SEMESTRAL</t>
  </si>
  <si>
    <t>CABLES DE CLOCHE/ TRIMESTAL</t>
  </si>
  <si>
    <t>AUTOMATICOS/ SEMESTARL</t>
  </si>
  <si>
    <t>RAYOS/SEMESTRAL</t>
  </si>
  <si>
    <t>LLANTAS/ SEMESTRAL</t>
  </si>
  <si>
    <t>FILTROS DE AIRE/ SEMESTARL</t>
  </si>
  <si>
    <t>TIMON/ SEMESTRAL</t>
  </si>
  <si>
    <t>PUÑOS/SEMESTRAL</t>
  </si>
  <si>
    <t>ROLBEARING/ SEMESTRAL</t>
  </si>
  <si>
    <t>VALVULAS/ SEMESTRAL</t>
  </si>
  <si>
    <t>DESLIZADORES/SEMESTRAL</t>
  </si>
  <si>
    <t>CADENITAS/SEMESTRAL</t>
  </si>
  <si>
    <t>JUEGO DE CADENA Y CATALINAS/SEMESTRAL</t>
  </si>
  <si>
    <t>CAJA DE BOLAS/SEMESTRAL</t>
  </si>
  <si>
    <t>BOTELLAS/SEMESTRAL</t>
  </si>
  <si>
    <t>AMORTIGUADORES/SEMESTRAL</t>
  </si>
  <si>
    <t>FUSIBLES/TRIMESTRAL</t>
  </si>
  <si>
    <t>FORROS DE ACIENTOS/ SEMESTRAL</t>
  </si>
  <si>
    <t>FILTROS DE ACEITE/SEMESTRAL</t>
  </si>
  <si>
    <t>PALANCA DE CAMBIOS/SEMESTRAL</t>
  </si>
  <si>
    <t>CABLE DEL ACELERADOR/SEMESTRAL</t>
  </si>
  <si>
    <t>TOTAL GENERAL MANTENIMIENTO PREVENTIVO</t>
  </si>
  <si>
    <t>Adqusicion y Mantenimiento de Vehiculos</t>
  </si>
  <si>
    <t>Charlas Conferencias</t>
  </si>
  <si>
    <t>Capacitacion Riesgo Laboral</t>
  </si>
  <si>
    <t>Pago Capacitadores</t>
  </si>
  <si>
    <t>Levantamiento de Riesgos Laborales</t>
  </si>
  <si>
    <t>Carpetas (clip board)</t>
  </si>
  <si>
    <t>Visitas a las regionales (viaticos para 4 personas/viajes)</t>
  </si>
  <si>
    <t>Viaticos</t>
  </si>
  <si>
    <t>* Aplicar el proceso de reclutamiento (Captación de personal por regionales, publicación en medios de comunicación digital y prensa escrita, evaluaciones Psicométricas), en caso de civiles convocatoria por competencias.
* Gestionar la asignación de personal activo de la Policía Nacional hacia DIGESETT.
* Selección de nuevo personal para la ocupación de las plazas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</si>
</sst>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\ _€_-;\-* #,##0\ _€_-;_-* &quot;-&quot;??\ _€_-;_-@_-"/>
    <numFmt numFmtId="166" formatCode="#,##0.0"/>
    <numFmt numFmtId="167" formatCode="0.000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indexed="8"/>
      <name val="Arial"/>
      <family val="2"/>
    </font>
    <font>
      <sz val="14"/>
      <color theme="1"/>
      <name val="Arial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Times New Roman"/>
      <family val="1"/>
    </font>
    <font>
      <sz val="11"/>
      <name val="Source Code Pro"/>
      <family val="3"/>
    </font>
    <font>
      <u/>
      <sz val="11"/>
      <name val="Source Code Pro"/>
      <family val="3"/>
    </font>
    <font>
      <u/>
      <sz val="11"/>
      <name val="Times New Roman"/>
      <family val="1"/>
    </font>
    <font>
      <b/>
      <u/>
      <sz val="11"/>
      <name val="Times New Roman"/>
      <family val="1"/>
    </font>
    <font>
      <sz val="11"/>
      <name val="Book Antiqua"/>
      <family val="1"/>
    </font>
    <font>
      <b/>
      <sz val="18"/>
      <name val="Arial"/>
      <family val="2"/>
    </font>
    <font>
      <b/>
      <sz val="20"/>
      <color theme="0"/>
      <name val="Arial"/>
      <family val="2"/>
    </font>
    <font>
      <b/>
      <sz val="15"/>
      <color indexed="8"/>
      <name val="Arial"/>
      <family val="2"/>
    </font>
    <font>
      <sz val="15"/>
      <color indexed="8"/>
      <name val="Arial"/>
      <family val="2"/>
    </font>
    <font>
      <sz val="15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6"/>
      <color indexed="8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5"/>
      <color theme="0"/>
      <name val="Arial"/>
      <family val="2"/>
    </font>
    <font>
      <b/>
      <sz val="15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name val="Tahoma"/>
      <family val="2"/>
    </font>
    <font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 applyFont="0" applyFill="0" applyBorder="0" applyAlignment="0" applyProtection="0"/>
  </cellStyleXfs>
  <cellXfs count="7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left" vertical="center" wrapText="1"/>
    </xf>
    <xf numFmtId="4" fontId="3" fillId="0" borderId="4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Font="1" applyFill="1" applyBorder="1" applyAlignment="1">
      <alignment vertical="center"/>
    </xf>
    <xf numFmtId="4" fontId="0" fillId="0" borderId="0" xfId="0" applyNumberForma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65" fontId="11" fillId="0" borderId="4" xfId="1" applyNumberFormat="1" applyFont="1" applyFill="1" applyBorder="1" applyAlignment="1">
      <alignment vertical="center" wrapText="1"/>
    </xf>
    <xf numFmtId="43" fontId="11" fillId="0" borderId="4" xfId="1" applyNumberFormat="1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65" fontId="11" fillId="2" borderId="4" xfId="1" applyNumberFormat="1" applyFont="1" applyFill="1" applyBorder="1" applyAlignment="1">
      <alignment vertical="center" wrapText="1"/>
    </xf>
    <xf numFmtId="43" fontId="11" fillId="2" borderId="4" xfId="1" applyNumberFormat="1" applyFont="1" applyFill="1" applyBorder="1" applyAlignment="1">
      <alignment vertical="center" wrapText="1"/>
    </xf>
    <xf numFmtId="0" fontId="0" fillId="2" borderId="0" xfId="0" applyFill="1"/>
    <xf numFmtId="0" fontId="11" fillId="0" borderId="9" xfId="0" applyFont="1" applyFill="1" applyBorder="1" applyAlignment="1">
      <alignment horizontal="center" vertical="center" wrapText="1"/>
    </xf>
    <xf numFmtId="43" fontId="11" fillId="0" borderId="9" xfId="1" applyNumberFormat="1" applyFont="1" applyFill="1" applyBorder="1" applyAlignment="1">
      <alignment vertical="center" wrapText="1"/>
    </xf>
    <xf numFmtId="43" fontId="13" fillId="0" borderId="3" xfId="0" applyNumberFormat="1" applyFont="1" applyBorder="1"/>
    <xf numFmtId="0" fontId="7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6" borderId="6" xfId="0" applyFont="1" applyFill="1" applyBorder="1" applyAlignment="1">
      <alignment horizontal="left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165" fontId="7" fillId="0" borderId="4" xfId="1" applyNumberFormat="1" applyFont="1" applyBorder="1" applyAlignment="1">
      <alignment horizontal="center" vertical="center"/>
    </xf>
    <xf numFmtId="43" fontId="7" fillId="0" borderId="0" xfId="1" applyFont="1" applyAlignment="1">
      <alignment vertical="center"/>
    </xf>
    <xf numFmtId="0" fontId="13" fillId="6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vertical="center"/>
    </xf>
    <xf numFmtId="0" fontId="13" fillId="6" borderId="6" xfId="0" applyFont="1" applyFill="1" applyBorder="1" applyAlignment="1">
      <alignment horizontal="right" vertical="center"/>
    </xf>
    <xf numFmtId="165" fontId="13" fillId="6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3" fillId="2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5" fillId="4" borderId="4" xfId="0" applyFont="1" applyFill="1" applyBorder="1" applyAlignment="1">
      <alignment wrapText="1"/>
    </xf>
    <xf numFmtId="0" fontId="12" fillId="4" borderId="4" xfId="0" applyFont="1" applyFill="1" applyBorder="1" applyAlignment="1">
      <alignment wrapText="1"/>
    </xf>
    <xf numFmtId="0" fontId="11" fillId="5" borderId="4" xfId="0" applyFont="1" applyFill="1" applyBorder="1"/>
    <xf numFmtId="0" fontId="12" fillId="4" borderId="4" xfId="0" applyFont="1" applyFill="1" applyBorder="1" applyAlignment="1"/>
    <xf numFmtId="0" fontId="12" fillId="4" borderId="4" xfId="0" applyFont="1" applyFill="1" applyBorder="1" applyAlignment="1">
      <alignment vertical="center" wrapText="1"/>
    </xf>
    <xf numFmtId="0" fontId="11" fillId="0" borderId="0" xfId="0" applyFont="1"/>
    <xf numFmtId="0" fontId="4" fillId="3" borderId="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7" fillId="5" borderId="4" xfId="0" applyFont="1" applyFill="1" applyBorder="1"/>
    <xf numFmtId="3" fontId="4" fillId="7" borderId="6" xfId="2" applyNumberFormat="1" applyFont="1" applyFill="1" applyBorder="1" applyAlignment="1">
      <alignment horizontal="center" vertical="center"/>
    </xf>
    <xf numFmtId="4" fontId="4" fillId="7" borderId="4" xfId="1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4" xfId="2" applyFont="1" applyFill="1" applyBorder="1" applyAlignment="1">
      <alignment vertical="center"/>
    </xf>
    <xf numFmtId="0" fontId="3" fillId="7" borderId="4" xfId="2" applyFont="1" applyFill="1" applyBorder="1" applyAlignment="1">
      <alignment vertical="center"/>
    </xf>
    <xf numFmtId="0" fontId="11" fillId="7" borderId="4" xfId="0" applyFont="1" applyFill="1" applyBorder="1" applyAlignment="1">
      <alignment vertical="center"/>
    </xf>
    <xf numFmtId="4" fontId="11" fillId="7" borderId="4" xfId="1" applyNumberFormat="1" applyFont="1" applyFill="1" applyBorder="1" applyAlignment="1">
      <alignment horizontal="center" vertical="center"/>
    </xf>
    <xf numFmtId="4" fontId="3" fillId="7" borderId="4" xfId="1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3" fontId="3" fillId="7" borderId="4" xfId="0" applyNumberFormat="1" applyFont="1" applyFill="1" applyBorder="1" applyAlignment="1">
      <alignment vertical="center"/>
    </xf>
    <xf numFmtId="3" fontId="3" fillId="7" borderId="4" xfId="0" applyNumberFormat="1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justify" vertical="center" wrapText="1"/>
    </xf>
    <xf numFmtId="0" fontId="18" fillId="0" borderId="0" xfId="0" applyFont="1"/>
    <xf numFmtId="4" fontId="3" fillId="7" borderId="4" xfId="1" applyNumberFormat="1" applyFont="1" applyFill="1" applyBorder="1" applyAlignment="1">
      <alignment horizontal="left" vertical="center" wrapText="1"/>
    </xf>
    <xf numFmtId="4" fontId="3" fillId="7" borderId="4" xfId="1" applyNumberFormat="1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 wrapText="1"/>
    </xf>
    <xf numFmtId="3" fontId="3" fillId="0" borderId="9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3" fillId="7" borderId="11" xfId="0" applyNumberFormat="1" applyFont="1" applyFill="1" applyBorder="1" applyAlignment="1">
      <alignment vertical="center"/>
    </xf>
    <xf numFmtId="3" fontId="3" fillId="8" borderId="4" xfId="0" applyNumberFormat="1" applyFont="1" applyFill="1" applyBorder="1" applyAlignment="1">
      <alignment vertical="center"/>
    </xf>
    <xf numFmtId="3" fontId="3" fillId="7" borderId="9" xfId="0" applyNumberFormat="1" applyFont="1" applyFill="1" applyBorder="1" applyAlignment="1">
      <alignment vertical="center" wrapText="1"/>
    </xf>
    <xf numFmtId="3" fontId="3" fillId="7" borderId="9" xfId="0" applyNumberFormat="1" applyFont="1" applyFill="1" applyBorder="1" applyAlignment="1">
      <alignment vertical="center"/>
    </xf>
    <xf numFmtId="3" fontId="3" fillId="7" borderId="14" xfId="0" applyNumberFormat="1" applyFont="1" applyFill="1" applyBorder="1" applyAlignment="1">
      <alignment vertical="center"/>
    </xf>
    <xf numFmtId="0" fontId="3" fillId="7" borderId="4" xfId="2" applyFont="1" applyFill="1" applyBorder="1" applyAlignment="1">
      <alignment horizontal="justify" vertical="center"/>
    </xf>
    <xf numFmtId="0" fontId="11" fillId="7" borderId="4" xfId="0" applyFont="1" applyFill="1" applyBorder="1"/>
    <xf numFmtId="0" fontId="2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43" fontId="1" fillId="0" borderId="4" xfId="1" applyFont="1" applyBorder="1" applyAlignment="1">
      <alignment vertical="center"/>
    </xf>
    <xf numFmtId="0" fontId="1" fillId="0" borderId="4" xfId="1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vertical="center"/>
    </xf>
    <xf numFmtId="43" fontId="1" fillId="0" borderId="4" xfId="1" applyFont="1" applyFill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43" fontId="1" fillId="0" borderId="0" xfId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0" fillId="0" borderId="4" xfId="0" applyBorder="1"/>
    <xf numFmtId="0" fontId="3" fillId="9" borderId="4" xfId="2" applyFont="1" applyFill="1" applyBorder="1" applyAlignment="1">
      <alignment vertical="center" wrapText="1"/>
    </xf>
    <xf numFmtId="3" fontId="3" fillId="9" borderId="4" xfId="0" applyNumberFormat="1" applyFont="1" applyFill="1" applyBorder="1" applyAlignment="1">
      <alignment vertical="center"/>
    </xf>
    <xf numFmtId="3" fontId="11" fillId="7" borderId="4" xfId="0" applyNumberFormat="1" applyFont="1" applyFill="1" applyBorder="1" applyAlignment="1">
      <alignment vertical="center"/>
    </xf>
    <xf numFmtId="0" fontId="3" fillId="7" borderId="4" xfId="2" applyFont="1" applyFill="1" applyBorder="1" applyAlignment="1">
      <alignment vertical="center" wrapText="1"/>
    </xf>
    <xf numFmtId="3" fontId="3" fillId="7" borderId="4" xfId="0" applyNumberFormat="1" applyFont="1" applyFill="1" applyBorder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0" fillId="7" borderId="4" xfId="0" applyFont="1" applyFill="1" applyBorder="1" applyAlignment="1">
      <alignment horizontal="center"/>
    </xf>
    <xf numFmtId="43" fontId="20" fillId="7" borderId="4" xfId="1" applyFont="1" applyFill="1" applyBorder="1" applyAlignment="1">
      <alignment horizontal="center"/>
    </xf>
    <xf numFmtId="0" fontId="20" fillId="2" borderId="0" xfId="0" applyFont="1" applyFill="1"/>
    <xf numFmtId="164" fontId="20" fillId="0" borderId="16" xfId="0" applyNumberFormat="1" applyFont="1" applyBorder="1"/>
    <xf numFmtId="3" fontId="3" fillId="10" borderId="4" xfId="0" applyNumberFormat="1" applyFont="1" applyFill="1" applyBorder="1" applyAlignment="1">
      <alignment vertical="center"/>
    </xf>
    <xf numFmtId="0" fontId="11" fillId="7" borderId="4" xfId="0" applyFont="1" applyFill="1" applyBorder="1" applyAlignment="1">
      <alignment horizontal="justify" vertical="center" wrapText="1"/>
    </xf>
    <xf numFmtId="43" fontId="20" fillId="0" borderId="0" xfId="0" applyNumberFormat="1" applyFont="1"/>
    <xf numFmtId="167" fontId="20" fillId="0" borderId="0" xfId="0" applyNumberFormat="1" applyFont="1"/>
    <xf numFmtId="0" fontId="11" fillId="7" borderId="4" xfId="0" applyFont="1" applyFill="1" applyBorder="1" applyAlignment="1">
      <alignment horizontal="left" vertical="center"/>
    </xf>
    <xf numFmtId="0" fontId="16" fillId="7" borderId="11" xfId="2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/>
    </xf>
    <xf numFmtId="0" fontId="20" fillId="0" borderId="4" xfId="0" applyFont="1" applyFill="1" applyBorder="1"/>
    <xf numFmtId="43" fontId="20" fillId="0" borderId="4" xfId="1" applyFont="1" applyFill="1" applyBorder="1"/>
    <xf numFmtId="43" fontId="20" fillId="0" borderId="4" xfId="1" applyFont="1" applyFill="1" applyBorder="1" applyAlignment="1">
      <alignment horizontal="center"/>
    </xf>
    <xf numFmtId="0" fontId="23" fillId="0" borderId="4" xfId="0" applyFont="1" applyFill="1" applyBorder="1"/>
    <xf numFmtId="0" fontId="20" fillId="0" borderId="4" xfId="0" applyFont="1" applyFill="1" applyBorder="1" applyAlignment="1">
      <alignment horizontal="center" wrapText="1"/>
    </xf>
    <xf numFmtId="0" fontId="20" fillId="0" borderId="4" xfId="0" applyFont="1" applyFill="1" applyBorder="1" applyAlignment="1">
      <alignment horizontal="left" wrapText="1"/>
    </xf>
    <xf numFmtId="43" fontId="20" fillId="0" borderId="4" xfId="1" applyFont="1" applyFill="1" applyBorder="1" applyAlignment="1">
      <alignment horizontal="center" wrapText="1"/>
    </xf>
    <xf numFmtId="0" fontId="20" fillId="0" borderId="4" xfId="0" applyFont="1" applyFill="1" applyBorder="1" applyAlignment="1">
      <alignment horizontal="left"/>
    </xf>
    <xf numFmtId="43" fontId="20" fillId="0" borderId="4" xfId="1" applyFont="1" applyFill="1" applyBorder="1" applyAlignment="1"/>
    <xf numFmtId="0" fontId="24" fillId="0" borderId="4" xfId="0" applyFont="1" applyFill="1" applyBorder="1" applyAlignment="1">
      <alignment horizontal="left"/>
    </xf>
    <xf numFmtId="0" fontId="25" fillId="0" borderId="4" xfId="0" applyFont="1" applyFill="1" applyBorder="1"/>
    <xf numFmtId="43" fontId="25" fillId="0" borderId="4" xfId="1" applyFont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3" fillId="11" borderId="0" xfId="0" applyFont="1" applyFill="1"/>
    <xf numFmtId="0" fontId="3" fillId="0" borderId="32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center" vertical="center" wrapText="1"/>
    </xf>
    <xf numFmtId="9" fontId="3" fillId="0" borderId="32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1" fillId="0" borderId="25" xfId="2" applyFont="1" applyFill="1" applyBorder="1" applyAlignment="1">
      <alignment horizontal="left" vertical="center" wrapText="1"/>
    </xf>
    <xf numFmtId="0" fontId="31" fillId="0" borderId="4" xfId="2" applyFont="1" applyFill="1" applyBorder="1" applyAlignment="1">
      <alignment horizontal="left" vertical="center" wrapText="1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6" fillId="0" borderId="11" xfId="2" applyFont="1" applyFill="1" applyBorder="1" applyAlignment="1">
      <alignment horizontal="left" vertical="center" wrapText="1"/>
    </xf>
    <xf numFmtId="3" fontId="4" fillId="0" borderId="6" xfId="2" applyNumberFormat="1" applyFont="1" applyFill="1" applyBorder="1" applyAlignment="1">
      <alignment horizontal="center" vertical="center"/>
    </xf>
    <xf numFmtId="4" fontId="4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vertical="center"/>
    </xf>
    <xf numFmtId="0" fontId="11" fillId="0" borderId="4" xfId="0" applyFont="1" applyFill="1" applyBorder="1" applyAlignment="1">
      <alignment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4" fontId="11" fillId="0" borderId="4" xfId="1" applyNumberFormat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vertical="center"/>
    </xf>
    <xf numFmtId="3" fontId="11" fillId="0" borderId="4" xfId="0" applyNumberFormat="1" applyFont="1" applyFill="1" applyBorder="1" applyAlignment="1">
      <alignment horizontal="center" vertical="center"/>
    </xf>
    <xf numFmtId="4" fontId="11" fillId="0" borderId="4" xfId="1" applyNumberFormat="1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left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3" fontId="11" fillId="0" borderId="4" xfId="1" applyNumberFormat="1" applyFont="1" applyFill="1" applyBorder="1" applyAlignment="1">
      <alignment horizontal="center" vertical="center" wrapText="1"/>
    </xf>
    <xf numFmtId="0" fontId="3" fillId="0" borderId="4" xfId="3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justify" vertical="center" wrapText="1"/>
    </xf>
    <xf numFmtId="3" fontId="3" fillId="0" borderId="4" xfId="0" applyNumberFormat="1" applyFont="1" applyFill="1" applyBorder="1" applyAlignment="1">
      <alignment horizontal="center" vertical="center"/>
    </xf>
    <xf numFmtId="3" fontId="4" fillId="0" borderId="4" xfId="2" applyNumberFormat="1" applyFont="1" applyFill="1" applyBorder="1" applyAlignment="1">
      <alignment horizontal="center" vertical="center"/>
    </xf>
    <xf numFmtId="3" fontId="4" fillId="0" borderId="4" xfId="1" applyNumberFormat="1" applyFont="1" applyFill="1" applyBorder="1" applyAlignment="1">
      <alignment horizontal="center" vertical="center" wrapText="1"/>
    </xf>
    <xf numFmtId="4" fontId="4" fillId="0" borderId="4" xfId="1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6" fillId="0" borderId="4" xfId="2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justify" vertical="center" wrapText="1"/>
    </xf>
    <xf numFmtId="3" fontId="12" fillId="0" borderId="4" xfId="0" applyNumberFormat="1" applyFont="1" applyFill="1" applyBorder="1" applyAlignment="1">
      <alignment horizontal="center" vertical="center" wrapText="1"/>
    </xf>
    <xf numFmtId="4" fontId="12" fillId="0" borderId="4" xfId="1" applyNumberFormat="1" applyFont="1" applyFill="1" applyBorder="1" applyAlignment="1">
      <alignment horizontal="center" vertical="center" wrapText="1"/>
    </xf>
    <xf numFmtId="3" fontId="11" fillId="0" borderId="11" xfId="1" applyNumberFormat="1" applyFont="1" applyFill="1" applyBorder="1" applyAlignment="1">
      <alignment horizontal="center" vertical="center" wrapText="1"/>
    </xf>
    <xf numFmtId="4" fontId="11" fillId="0" borderId="11" xfId="1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43" fontId="3" fillId="0" borderId="4" xfId="1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3" fontId="3" fillId="0" borderId="10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4" fillId="0" borderId="9" xfId="1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4" fontId="3" fillId="0" borderId="11" xfId="1" applyNumberFormat="1" applyFont="1" applyFill="1" applyBorder="1" applyAlignment="1">
      <alignment horizontal="center" vertical="center" wrapText="1"/>
    </xf>
    <xf numFmtId="3" fontId="3" fillId="0" borderId="6" xfId="1" applyNumberFormat="1" applyFont="1" applyFill="1" applyBorder="1" applyAlignment="1">
      <alignment horizontal="center" vertical="center" wrapText="1"/>
    </xf>
    <xf numFmtId="0" fontId="35" fillId="15" borderId="4" xfId="0" applyFont="1" applyFill="1" applyBorder="1" applyAlignment="1">
      <alignment wrapText="1"/>
    </xf>
    <xf numFmtId="0" fontId="35" fillId="15" borderId="4" xfId="0" applyFont="1" applyFill="1" applyBorder="1" applyAlignment="1"/>
    <xf numFmtId="0" fontId="35" fillId="15" borderId="4" xfId="0" applyFont="1" applyFill="1" applyBorder="1" applyAlignment="1">
      <alignment horizontal="center" vertical="center" wrapText="1"/>
    </xf>
    <xf numFmtId="4" fontId="35" fillId="15" borderId="4" xfId="0" applyNumberFormat="1" applyFont="1" applyFill="1" applyBorder="1" applyAlignment="1">
      <alignment horizontal="center" vertical="center" wrapText="1"/>
    </xf>
    <xf numFmtId="166" fontId="35" fillId="15" borderId="4" xfId="0" applyNumberFormat="1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0" fontId="35" fillId="15" borderId="4" xfId="0" applyFont="1" applyFill="1" applyBorder="1" applyAlignment="1">
      <alignment vertical="center" wrapText="1"/>
    </xf>
    <xf numFmtId="0" fontId="36" fillId="15" borderId="5" xfId="0" applyFont="1" applyFill="1" applyBorder="1" applyAlignment="1">
      <alignment horizontal="center" vertical="center" wrapText="1"/>
    </xf>
    <xf numFmtId="0" fontId="35" fillId="15" borderId="4" xfId="0" applyFont="1" applyFill="1" applyBorder="1" applyAlignment="1">
      <alignment horizontal="center" wrapText="1"/>
    </xf>
    <xf numFmtId="4" fontId="12" fillId="6" borderId="4" xfId="0" applyNumberFormat="1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 vertical="center" wrapText="1"/>
    </xf>
    <xf numFmtId="9" fontId="3" fillId="0" borderId="20" xfId="0" applyNumberFormat="1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9" fontId="3" fillId="0" borderId="0" xfId="0" applyNumberFormat="1" applyFont="1" applyAlignment="1">
      <alignment vertical="center"/>
    </xf>
    <xf numFmtId="9" fontId="32" fillId="2" borderId="4" xfId="0" applyNumberFormat="1" applyFont="1" applyFill="1" applyBorder="1" applyAlignment="1">
      <alignment horizontal="center" vertical="center" wrapText="1"/>
    </xf>
    <xf numFmtId="9" fontId="32" fillId="2" borderId="28" xfId="0" applyNumberFormat="1" applyFont="1" applyFill="1" applyBorder="1" applyAlignment="1">
      <alignment horizontal="center" vertical="center" wrapText="1"/>
    </xf>
    <xf numFmtId="9" fontId="32" fillId="2" borderId="30" xfId="0" applyNumberFormat="1" applyFont="1" applyFill="1" applyBorder="1" applyAlignment="1">
      <alignment horizontal="center" vertical="center" wrapText="1"/>
    </xf>
    <xf numFmtId="9" fontId="32" fillId="2" borderId="31" xfId="0" applyNumberFormat="1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justify" vertical="center" wrapText="1"/>
    </xf>
    <xf numFmtId="0" fontId="4" fillId="14" borderId="4" xfId="2" applyFont="1" applyFill="1" applyBorder="1" applyAlignment="1">
      <alignment horizontal="center" vertical="center"/>
    </xf>
    <xf numFmtId="43" fontId="4" fillId="14" borderId="4" xfId="1" applyFont="1" applyFill="1" applyBorder="1" applyAlignment="1">
      <alignment horizontal="center" vertical="center"/>
    </xf>
    <xf numFmtId="4" fontId="4" fillId="14" borderId="4" xfId="1" applyNumberFormat="1" applyFont="1" applyFill="1" applyBorder="1" applyAlignment="1">
      <alignment horizontal="center" vertical="center"/>
    </xf>
    <xf numFmtId="0" fontId="4" fillId="14" borderId="4" xfId="2" applyFont="1" applyFill="1" applyBorder="1" applyAlignment="1">
      <alignment vertical="center"/>
    </xf>
    <xf numFmtId="4" fontId="12" fillId="14" borderId="4" xfId="0" applyNumberFormat="1" applyFont="1" applyFill="1" applyBorder="1" applyAlignment="1">
      <alignment horizontal="center"/>
    </xf>
    <xf numFmtId="0" fontId="32" fillId="0" borderId="25" xfId="2" applyFont="1" applyFill="1" applyBorder="1" applyAlignment="1">
      <alignment horizontal="left" vertical="center" wrapText="1"/>
    </xf>
    <xf numFmtId="0" fontId="32" fillId="2" borderId="25" xfId="2" applyFont="1" applyFill="1" applyBorder="1" applyAlignment="1">
      <alignment horizontal="left" vertical="center" wrapText="1"/>
    </xf>
    <xf numFmtId="0" fontId="32" fillId="2" borderId="4" xfId="2" applyFont="1" applyFill="1" applyBorder="1" applyAlignment="1">
      <alignment horizontal="left" vertical="center" wrapText="1"/>
    </xf>
    <xf numFmtId="0" fontId="32" fillId="0" borderId="4" xfId="2" applyFont="1" applyFill="1" applyBorder="1" applyAlignment="1">
      <alignment horizontal="left" vertical="center" wrapText="1"/>
    </xf>
    <xf numFmtId="0" fontId="32" fillId="2" borderId="30" xfId="2" applyFont="1" applyFill="1" applyBorder="1" applyAlignment="1">
      <alignment horizontal="left" vertical="center" wrapText="1"/>
    </xf>
    <xf numFmtId="0" fontId="32" fillId="0" borderId="30" xfId="2" applyFont="1" applyFill="1" applyBorder="1" applyAlignment="1">
      <alignment horizontal="left" vertical="center" wrapText="1"/>
    </xf>
    <xf numFmtId="0" fontId="36" fillId="16" borderId="1" xfId="0" applyFont="1" applyFill="1" applyBorder="1" applyAlignment="1">
      <alignment horizontal="center" vertical="center" wrapText="1"/>
    </xf>
    <xf numFmtId="0" fontId="36" fillId="16" borderId="18" xfId="0" applyFont="1" applyFill="1" applyBorder="1" applyAlignment="1">
      <alignment horizontal="center" vertical="center" wrapText="1"/>
    </xf>
    <xf numFmtId="0" fontId="4" fillId="16" borderId="0" xfId="0" applyFont="1" applyFill="1" applyAlignment="1">
      <alignment horizontal="center"/>
    </xf>
    <xf numFmtId="0" fontId="38" fillId="16" borderId="32" xfId="0" applyFont="1" applyFill="1" applyBorder="1" applyAlignment="1">
      <alignment horizontal="left" vertical="center" wrapText="1"/>
    </xf>
    <xf numFmtId="0" fontId="38" fillId="16" borderId="32" xfId="0" applyFont="1" applyFill="1" applyBorder="1" applyAlignment="1">
      <alignment vertical="center" wrapText="1"/>
    </xf>
    <xf numFmtId="0" fontId="38" fillId="16" borderId="20" xfId="0" applyFont="1" applyFill="1" applyBorder="1" applyAlignment="1">
      <alignment vertical="center" wrapText="1"/>
    </xf>
    <xf numFmtId="0" fontId="38" fillId="16" borderId="2" xfId="0" applyFont="1" applyFill="1" applyBorder="1" applyAlignment="1">
      <alignment horizontal="left" vertical="center" wrapText="1"/>
    </xf>
    <xf numFmtId="0" fontId="38" fillId="16" borderId="2" xfId="0" applyFont="1" applyFill="1" applyBorder="1" applyAlignment="1">
      <alignment vertical="center" wrapText="1"/>
    </xf>
    <xf numFmtId="0" fontId="38" fillId="16" borderId="3" xfId="0" applyFont="1" applyFill="1" applyBorder="1" applyAlignment="1">
      <alignment vertical="center" wrapText="1"/>
    </xf>
    <xf numFmtId="0" fontId="6" fillId="16" borderId="33" xfId="0" applyFont="1" applyFill="1" applyBorder="1" applyAlignment="1">
      <alignment vertical="center" wrapText="1"/>
    </xf>
    <xf numFmtId="0" fontId="6" fillId="16" borderId="23" xfId="0" applyFont="1" applyFill="1" applyBorder="1" applyAlignment="1">
      <alignment vertical="center" wrapText="1"/>
    </xf>
    <xf numFmtId="0" fontId="32" fillId="0" borderId="9" xfId="0" applyFont="1" applyFill="1" applyBorder="1" applyAlignment="1">
      <alignment horizontal="center" vertical="center" wrapText="1"/>
    </xf>
    <xf numFmtId="10" fontId="32" fillId="2" borderId="9" xfId="0" applyNumberFormat="1" applyFont="1" applyFill="1" applyBorder="1" applyAlignment="1">
      <alignment horizontal="center" vertical="center" wrapText="1"/>
    </xf>
    <xf numFmtId="9" fontId="32" fillId="2" borderId="9" xfId="0" applyNumberFormat="1" applyFont="1" applyFill="1" applyBorder="1" applyAlignment="1">
      <alignment horizontal="center" vertical="center" wrapText="1"/>
    </xf>
    <xf numFmtId="9" fontId="32" fillId="2" borderId="48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39" fillId="0" borderId="4" xfId="3" applyNumberFormat="1" applyFont="1" applyFill="1" applyBorder="1" applyAlignment="1">
      <alignment horizontal="left" vertical="center" wrapText="1"/>
    </xf>
    <xf numFmtId="0" fontId="39" fillId="0" borderId="25" xfId="3" applyNumberFormat="1" applyFont="1" applyFill="1" applyBorder="1" applyAlignment="1">
      <alignment horizontal="left" vertical="center" wrapText="1"/>
    </xf>
    <xf numFmtId="0" fontId="6" fillId="16" borderId="33" xfId="0" applyFont="1" applyFill="1" applyBorder="1" applyAlignment="1">
      <alignment horizontal="left" vertical="center" wrapText="1"/>
    </xf>
    <xf numFmtId="0" fontId="38" fillId="16" borderId="0" xfId="0" applyFont="1" applyFill="1" applyBorder="1" applyAlignment="1">
      <alignment horizontal="left" vertical="center" wrapText="1"/>
    </xf>
    <xf numFmtId="0" fontId="32" fillId="0" borderId="30" xfId="2" applyFont="1" applyFill="1" applyBorder="1" applyAlignment="1">
      <alignment horizontal="center" vertical="center" wrapText="1"/>
    </xf>
    <xf numFmtId="0" fontId="32" fillId="0" borderId="25" xfId="3" applyNumberFormat="1" applyFont="1" applyFill="1" applyBorder="1" applyAlignment="1">
      <alignment horizontal="left" vertical="center" wrapText="1"/>
    </xf>
    <xf numFmtId="0" fontId="32" fillId="0" borderId="4" xfId="3" applyNumberFormat="1" applyFont="1" applyFill="1" applyBorder="1" applyAlignment="1">
      <alignment horizontal="left" vertical="center" wrapText="1"/>
    </xf>
    <xf numFmtId="0" fontId="32" fillId="0" borderId="30" xfId="3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4" fillId="0" borderId="4" xfId="0" applyFont="1" applyFill="1" applyBorder="1" applyAlignment="1"/>
    <xf numFmtId="0" fontId="3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/>
    </xf>
    <xf numFmtId="165" fontId="41" fillId="0" borderId="4" xfId="1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5" fillId="15" borderId="4" xfId="0" applyFont="1" applyFill="1" applyBorder="1" applyAlignment="1">
      <alignment wrapText="1"/>
    </xf>
    <xf numFmtId="0" fontId="36" fillId="16" borderId="18" xfId="0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34" fillId="16" borderId="32" xfId="0" applyFont="1" applyFill="1" applyBorder="1" applyAlignment="1">
      <alignment vertical="center" wrapText="1"/>
    </xf>
    <xf numFmtId="0" fontId="34" fillId="16" borderId="2" xfId="0" applyFont="1" applyFill="1" applyBorder="1" applyAlignment="1">
      <alignment vertical="center" wrapText="1"/>
    </xf>
    <xf numFmtId="0" fontId="4" fillId="16" borderId="33" xfId="0" applyFont="1" applyFill="1" applyBorder="1" applyAlignment="1">
      <alignment vertical="center" wrapText="1"/>
    </xf>
    <xf numFmtId="0" fontId="8" fillId="0" borderId="0" xfId="0" applyFont="1"/>
    <xf numFmtId="0" fontId="11" fillId="0" borderId="0" xfId="0" applyFont="1" applyAlignment="1">
      <alignment vertical="center"/>
    </xf>
    <xf numFmtId="0" fontId="44" fillId="0" borderId="0" xfId="0" applyFont="1" applyFill="1"/>
    <xf numFmtId="0" fontId="8" fillId="0" borderId="4" xfId="0" applyFont="1" applyFill="1" applyBorder="1"/>
    <xf numFmtId="0" fontId="8" fillId="7" borderId="4" xfId="0" applyFont="1" applyFill="1" applyBorder="1"/>
    <xf numFmtId="0" fontId="8" fillId="10" borderId="4" xfId="0" applyFont="1" applyFill="1" applyBorder="1" applyAlignment="1">
      <alignment horizontal="left" wrapText="1"/>
    </xf>
    <xf numFmtId="0" fontId="8" fillId="10" borderId="4" xfId="0" applyFont="1" applyFill="1" applyBorder="1"/>
    <xf numFmtId="0" fontId="44" fillId="0" borderId="4" xfId="0" applyFont="1" applyFill="1" applyBorder="1"/>
    <xf numFmtId="0" fontId="44" fillId="7" borderId="4" xfId="0" applyFont="1" applyFill="1" applyBorder="1" applyAlignment="1">
      <alignment wrapText="1"/>
    </xf>
    <xf numFmtId="0" fontId="44" fillId="0" borderId="0" xfId="0" applyFont="1"/>
    <xf numFmtId="0" fontId="44" fillId="7" borderId="4" xfId="0" applyFont="1" applyFill="1" applyBorder="1"/>
    <xf numFmtId="0" fontId="8" fillId="10" borderId="4" xfId="0" applyFont="1" applyFill="1" applyBorder="1" applyAlignment="1">
      <alignment wrapText="1"/>
    </xf>
    <xf numFmtId="0" fontId="8" fillId="10" borderId="4" xfId="0" applyFont="1" applyFill="1" applyBorder="1" applyAlignment="1">
      <alignment horizontal="left"/>
    </xf>
    <xf numFmtId="4" fontId="9" fillId="0" borderId="4" xfId="0" applyNumberFormat="1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5" fillId="0" borderId="4" xfId="0" applyFont="1" applyFill="1" applyBorder="1" applyAlignment="1">
      <alignment wrapText="1"/>
    </xf>
    <xf numFmtId="0" fontId="35" fillId="0" borderId="4" xfId="0" applyFont="1" applyFill="1" applyBorder="1" applyAlignment="1">
      <alignment horizontal="center" wrapText="1"/>
    </xf>
    <xf numFmtId="0" fontId="35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wrapText="1"/>
    </xf>
    <xf numFmtId="0" fontId="8" fillId="0" borderId="0" xfId="0" applyFont="1" applyFill="1"/>
    <xf numFmtId="0" fontId="3" fillId="0" borderId="4" xfId="0" applyFont="1" applyFill="1" applyBorder="1" applyAlignment="1">
      <alignment horizontal="center" wrapText="1"/>
    </xf>
    <xf numFmtId="0" fontId="46" fillId="0" borderId="4" xfId="0" applyFont="1" applyBorder="1" applyAlignment="1">
      <alignment horizontal="justify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3" fillId="0" borderId="1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1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8" fillId="0" borderId="0" xfId="0" applyNumberFormat="1" applyFont="1" applyAlignment="1">
      <alignment horizontal="center"/>
    </xf>
    <xf numFmtId="0" fontId="39" fillId="0" borderId="0" xfId="0" applyFont="1" applyAlignment="1">
      <alignment vertical="center"/>
    </xf>
    <xf numFmtId="0" fontId="48" fillId="0" borderId="0" xfId="0" applyFont="1" applyAlignment="1">
      <alignment horizontal="left" vertical="center" indent="2"/>
    </xf>
    <xf numFmtId="0" fontId="48" fillId="0" borderId="0" xfId="0" applyFont="1"/>
    <xf numFmtId="0" fontId="48" fillId="0" borderId="0" xfId="0" applyFont="1" applyAlignment="1">
      <alignment vertical="center"/>
    </xf>
    <xf numFmtId="3" fontId="15" fillId="0" borderId="0" xfId="0" applyNumberFormat="1" applyFont="1" applyAlignment="1">
      <alignment horizontal="center"/>
    </xf>
    <xf numFmtId="43" fontId="0" fillId="0" borderId="0" xfId="1" applyFont="1"/>
    <xf numFmtId="0" fontId="49" fillId="0" borderId="0" xfId="0" applyFont="1"/>
    <xf numFmtId="0" fontId="49" fillId="0" borderId="0" xfId="0" applyFont="1" applyBorder="1" applyAlignment="1">
      <alignment horizontal="center"/>
    </xf>
    <xf numFmtId="0" fontId="49" fillId="0" borderId="13" xfId="0" applyFont="1" applyBorder="1"/>
    <xf numFmtId="0" fontId="49" fillId="0" borderId="0" xfId="0" applyFont="1" applyBorder="1"/>
    <xf numFmtId="0" fontId="0" fillId="0" borderId="13" xfId="0" applyBorder="1"/>
    <xf numFmtId="0" fontId="50" fillId="17" borderId="18" xfId="0" applyFont="1" applyFill="1" applyBorder="1" applyAlignment="1">
      <alignment horizontal="center"/>
    </xf>
    <xf numFmtId="0" fontId="10" fillId="17" borderId="18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50" fillId="17" borderId="21" xfId="0" applyFont="1" applyFill="1" applyBorder="1" applyAlignment="1">
      <alignment horizontal="center"/>
    </xf>
    <xf numFmtId="0" fontId="10" fillId="17" borderId="21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1" fillId="0" borderId="0" xfId="0" applyFont="1" applyAlignment="1">
      <alignment vertical="center"/>
    </xf>
    <xf numFmtId="0" fontId="0" fillId="0" borderId="13" xfId="0" applyFont="1" applyBorder="1" applyAlignment="1">
      <alignment horizontal="center"/>
    </xf>
    <xf numFmtId="0" fontId="40" fillId="2" borderId="52" xfId="0" applyFont="1" applyFill="1" applyBorder="1" applyAlignment="1">
      <alignment horizontal="center"/>
    </xf>
    <xf numFmtId="0" fontId="40" fillId="2" borderId="24" xfId="0" applyFont="1" applyFill="1" applyBorder="1" applyAlignment="1">
      <alignment horizontal="center"/>
    </xf>
    <xf numFmtId="0" fontId="40" fillId="2" borderId="25" xfId="0" applyFont="1" applyFill="1" applyBorder="1" applyAlignment="1">
      <alignment horizontal="center"/>
    </xf>
    <xf numFmtId="0" fontId="40" fillId="2" borderId="37" xfId="0" applyFont="1" applyFill="1" applyBorder="1" applyAlignment="1">
      <alignment horizontal="center"/>
    </xf>
    <xf numFmtId="0" fontId="40" fillId="17" borderId="24" xfId="0" applyFont="1" applyFill="1" applyBorder="1" applyAlignment="1">
      <alignment horizontal="center"/>
    </xf>
    <xf numFmtId="0" fontId="40" fillId="17" borderId="8" xfId="0" applyFont="1" applyFill="1" applyBorder="1" applyAlignment="1">
      <alignment horizontal="center"/>
    </xf>
    <xf numFmtId="43" fontId="40" fillId="17" borderId="4" xfId="1" applyFont="1" applyFill="1" applyBorder="1" applyAlignment="1">
      <alignment horizontal="center"/>
    </xf>
    <xf numFmtId="43" fontId="40" fillId="17" borderId="26" xfId="1" applyFont="1" applyFill="1" applyBorder="1" applyAlignment="1">
      <alignment horizontal="center"/>
    </xf>
    <xf numFmtId="0" fontId="40" fillId="2" borderId="53" xfId="0" applyFont="1" applyFill="1" applyBorder="1" applyAlignment="1">
      <alignment horizontal="center"/>
    </xf>
    <xf numFmtId="0" fontId="40" fillId="2" borderId="27" xfId="0" applyFont="1" applyFill="1" applyBorder="1" applyAlignment="1">
      <alignment horizontal="center"/>
    </xf>
    <xf numFmtId="0" fontId="40" fillId="2" borderId="4" xfId="0" applyFont="1" applyFill="1" applyBorder="1" applyAlignment="1">
      <alignment horizontal="center"/>
    </xf>
    <xf numFmtId="0" fontId="40" fillId="2" borderId="6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0" fillId="0" borderId="0" xfId="0" applyFont="1" applyBorder="1"/>
    <xf numFmtId="0" fontId="0" fillId="0" borderId="0" xfId="0" applyFont="1" applyAlignment="1">
      <alignment horizontal="center"/>
    </xf>
    <xf numFmtId="0" fontId="19" fillId="2" borderId="53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52" fillId="0" borderId="0" xfId="0" applyFont="1" applyAlignment="1">
      <alignment vertical="center"/>
    </xf>
    <xf numFmtId="0" fontId="40" fillId="2" borderId="54" xfId="0" applyFont="1" applyFill="1" applyBorder="1" applyAlignment="1">
      <alignment horizontal="center"/>
    </xf>
    <xf numFmtId="0" fontId="40" fillId="2" borderId="29" xfId="0" applyFont="1" applyFill="1" applyBorder="1" applyAlignment="1">
      <alignment horizontal="center"/>
    </xf>
    <xf numFmtId="0" fontId="40" fillId="2" borderId="30" xfId="0" applyFont="1" applyFill="1" applyBorder="1" applyAlignment="1">
      <alignment horizontal="center"/>
    </xf>
    <xf numFmtId="0" fontId="40" fillId="2" borderId="39" xfId="0" applyFont="1" applyFill="1" applyBorder="1" applyAlignment="1">
      <alignment horizontal="center"/>
    </xf>
    <xf numFmtId="0" fontId="40" fillId="17" borderId="40" xfId="0" applyFont="1" applyFill="1" applyBorder="1" applyAlignment="1">
      <alignment horizontal="center"/>
    </xf>
    <xf numFmtId="43" fontId="40" fillId="17" borderId="9" xfId="1" applyFont="1" applyFill="1" applyBorder="1" applyAlignment="1">
      <alignment horizontal="center"/>
    </xf>
    <xf numFmtId="43" fontId="40" fillId="17" borderId="30" xfId="1" applyFont="1" applyFill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43" fontId="10" fillId="18" borderId="0" xfId="1" applyFont="1" applyFill="1" applyBorder="1" applyAlignment="1">
      <alignment horizontal="center"/>
    </xf>
    <xf numFmtId="0" fontId="50" fillId="0" borderId="55" xfId="0" applyFont="1" applyBorder="1" applyAlignment="1">
      <alignment horizontal="center"/>
    </xf>
    <xf numFmtId="0" fontId="50" fillId="0" borderId="56" xfId="0" applyFont="1" applyBorder="1" applyAlignment="1">
      <alignment horizontal="center"/>
    </xf>
    <xf numFmtId="0" fontId="50" fillId="0" borderId="57" xfId="0" applyFont="1" applyBorder="1" applyAlignment="1">
      <alignment horizontal="center"/>
    </xf>
    <xf numFmtId="0" fontId="40" fillId="0" borderId="28" xfId="0" applyFont="1" applyBorder="1" applyAlignment="1">
      <alignment horizontal="center"/>
    </xf>
    <xf numFmtId="0" fontId="40" fillId="0" borderId="27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40" fillId="17" borderId="38" xfId="0" applyFont="1" applyFill="1" applyBorder="1" applyAlignment="1">
      <alignment horizontal="center"/>
    </xf>
    <xf numFmtId="43" fontId="40" fillId="17" borderId="25" xfId="1" applyFont="1" applyFill="1" applyBorder="1" applyAlignment="1">
      <alignment horizontal="center"/>
    </xf>
    <xf numFmtId="0" fontId="40" fillId="0" borderId="48" xfId="0" applyFont="1" applyBorder="1" applyAlignment="1">
      <alignment horizontal="center"/>
    </xf>
    <xf numFmtId="0" fontId="0" fillId="0" borderId="50" xfId="0" applyFont="1" applyBorder="1" applyAlignment="1">
      <alignment horizontal="center"/>
    </xf>
    <xf numFmtId="0" fontId="40" fillId="0" borderId="9" xfId="0" applyFont="1" applyBorder="1" applyAlignment="1">
      <alignment horizontal="center"/>
    </xf>
    <xf numFmtId="0" fontId="40" fillId="17" borderId="44" xfId="0" applyFont="1" applyFill="1" applyBorder="1" applyAlignment="1">
      <alignment horizontal="center"/>
    </xf>
    <xf numFmtId="43" fontId="40" fillId="17" borderId="11" xfId="1" applyFont="1" applyFill="1" applyBorder="1" applyAlignment="1">
      <alignment horizontal="center"/>
    </xf>
    <xf numFmtId="0" fontId="40" fillId="0" borderId="50" xfId="0" applyFont="1" applyBorder="1" applyAlignment="1">
      <alignment horizontal="center"/>
    </xf>
    <xf numFmtId="0" fontId="40" fillId="0" borderId="31" xfId="0" applyFont="1" applyBorder="1" applyAlignment="1">
      <alignment horizontal="center"/>
    </xf>
    <xf numFmtId="0" fontId="40" fillId="0" borderId="29" xfId="0" applyFont="1" applyBorder="1" applyAlignment="1">
      <alignment horizontal="center"/>
    </xf>
    <xf numFmtId="0" fontId="40" fillId="0" borderId="30" xfId="0" applyFont="1" applyBorder="1" applyAlignment="1">
      <alignment horizontal="center"/>
    </xf>
    <xf numFmtId="0" fontId="54" fillId="0" borderId="0" xfId="0" applyFont="1" applyAlignment="1">
      <alignment horizontal="center"/>
    </xf>
    <xf numFmtId="43" fontId="40" fillId="18" borderId="0" xfId="0" applyNumberFormat="1" applyFont="1" applyFill="1" applyBorder="1" applyAlignment="1">
      <alignment horizontal="center"/>
    </xf>
    <xf numFmtId="0" fontId="10" fillId="19" borderId="18" xfId="0" applyFont="1" applyFill="1" applyBorder="1" applyAlignment="1">
      <alignment horizontal="center"/>
    </xf>
    <xf numFmtId="0" fontId="10" fillId="19" borderId="21" xfId="0" applyFont="1" applyFill="1" applyBorder="1" applyAlignment="1">
      <alignment horizontal="center"/>
    </xf>
    <xf numFmtId="0" fontId="40" fillId="0" borderId="58" xfId="0" applyFont="1" applyBorder="1" applyAlignment="1">
      <alignment horizontal="center"/>
    </xf>
    <xf numFmtId="0" fontId="40" fillId="0" borderId="47" xfId="0" applyFont="1" applyBorder="1" applyAlignment="1">
      <alignment horizontal="center"/>
    </xf>
    <xf numFmtId="0" fontId="40" fillId="0" borderId="59" xfId="0" applyFont="1" applyBorder="1" applyAlignment="1">
      <alignment horizontal="center"/>
    </xf>
    <xf numFmtId="0" fontId="40" fillId="17" borderId="56" xfId="0" applyFont="1" applyFill="1" applyBorder="1" applyAlignment="1">
      <alignment horizontal="center"/>
    </xf>
    <xf numFmtId="43" fontId="19" fillId="19" borderId="55" xfId="1" applyFont="1" applyFill="1" applyBorder="1" applyAlignment="1">
      <alignment horizontal="center"/>
    </xf>
    <xf numFmtId="0" fontId="55" fillId="0" borderId="0" xfId="0" applyFont="1" applyAlignment="1">
      <alignment horizontal="center"/>
    </xf>
    <xf numFmtId="43" fontId="40" fillId="18" borderId="0" xfId="0" applyNumberFormat="1" applyFont="1" applyFill="1" applyAlignment="1">
      <alignment horizontal="center"/>
    </xf>
    <xf numFmtId="0" fontId="50" fillId="17" borderId="60" xfId="0" applyFont="1" applyFill="1" applyBorder="1" applyAlignment="1">
      <alignment horizontal="center"/>
    </xf>
    <xf numFmtId="0" fontId="10" fillId="17" borderId="60" xfId="0" applyFont="1" applyFill="1" applyBorder="1" applyAlignment="1">
      <alignment horizontal="center"/>
    </xf>
    <xf numFmtId="0" fontId="10" fillId="19" borderId="60" xfId="0" applyFont="1" applyFill="1" applyBorder="1" applyAlignment="1">
      <alignment horizontal="center"/>
    </xf>
    <xf numFmtId="0" fontId="40" fillId="0" borderId="55" xfId="0" applyFont="1" applyBorder="1" applyAlignment="1">
      <alignment horizontal="center"/>
    </xf>
    <xf numFmtId="0" fontId="40" fillId="0" borderId="56" xfId="0" applyFont="1" applyBorder="1" applyAlignment="1">
      <alignment horizontal="center"/>
    </xf>
    <xf numFmtId="0" fontId="40" fillId="0" borderId="57" xfId="0" applyFont="1" applyBorder="1" applyAlignment="1">
      <alignment horizontal="center"/>
    </xf>
    <xf numFmtId="0" fontId="40" fillId="0" borderId="49" xfId="0" applyFont="1" applyBorder="1" applyAlignment="1">
      <alignment horizontal="center"/>
    </xf>
    <xf numFmtId="0" fontId="10" fillId="17" borderId="4" xfId="0" applyFont="1" applyFill="1" applyBorder="1" applyAlignment="1">
      <alignment horizontal="center"/>
    </xf>
    <xf numFmtId="0" fontId="40" fillId="17" borderId="4" xfId="0" applyFont="1" applyFill="1" applyBorder="1" applyAlignment="1">
      <alignment horizontal="center"/>
    </xf>
    <xf numFmtId="43" fontId="19" fillId="19" borderId="4" xfId="1" applyFont="1" applyFill="1" applyBorder="1" applyAlignment="1">
      <alignment horizontal="center"/>
    </xf>
    <xf numFmtId="0" fontId="40" fillId="0" borderId="36" xfId="0" applyFont="1" applyBorder="1" applyAlignment="1">
      <alignment horizontal="center"/>
    </xf>
    <xf numFmtId="43" fontId="19" fillId="18" borderId="0" xfId="0" applyNumberFormat="1" applyFont="1" applyFill="1" applyAlignment="1">
      <alignment horizontal="center"/>
    </xf>
    <xf numFmtId="0" fontId="55" fillId="0" borderId="28" xfId="0" applyFont="1" applyBorder="1" applyAlignment="1">
      <alignment horizontal="center"/>
    </xf>
    <xf numFmtId="0" fontId="55" fillId="0" borderId="27" xfId="0" applyFont="1" applyBorder="1" applyAlignment="1">
      <alignment horizontal="center"/>
    </xf>
    <xf numFmtId="0" fontId="55" fillId="0" borderId="4" xfId="0" applyFont="1" applyBorder="1" applyAlignment="1">
      <alignment horizontal="center"/>
    </xf>
    <xf numFmtId="0" fontId="56" fillId="0" borderId="4" xfId="0" applyFont="1" applyBorder="1" applyAlignment="1">
      <alignment horizontal="center"/>
    </xf>
    <xf numFmtId="0" fontId="55" fillId="0" borderId="48" xfId="0" applyFont="1" applyBorder="1" applyAlignment="1">
      <alignment horizontal="center"/>
    </xf>
    <xf numFmtId="0" fontId="55" fillId="0" borderId="50" xfId="0" applyFont="1" applyBorder="1" applyAlignment="1">
      <alignment horizontal="center"/>
    </xf>
    <xf numFmtId="0" fontId="55" fillId="0" borderId="9" xfId="0" applyFont="1" applyBorder="1" applyAlignment="1">
      <alignment horizontal="center"/>
    </xf>
    <xf numFmtId="0" fontId="55" fillId="0" borderId="31" xfId="0" applyFont="1" applyBorder="1" applyAlignment="1">
      <alignment horizontal="center"/>
    </xf>
    <xf numFmtId="0" fontId="55" fillId="0" borderId="29" xfId="0" applyFont="1" applyBorder="1" applyAlignment="1">
      <alignment horizontal="center"/>
    </xf>
    <xf numFmtId="0" fontId="55" fillId="0" borderId="30" xfId="0" applyFont="1" applyBorder="1" applyAlignment="1">
      <alignment horizontal="center"/>
    </xf>
    <xf numFmtId="0" fontId="56" fillId="0" borderId="3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43" fontId="40" fillId="17" borderId="4" xfId="1" applyFont="1" applyFill="1" applyBorder="1" applyAlignment="1">
      <alignment horizontal="left"/>
    </xf>
    <xf numFmtId="0" fontId="19" fillId="0" borderId="0" xfId="0" applyFont="1" applyAlignment="1">
      <alignment horizontal="center"/>
    </xf>
    <xf numFmtId="43" fontId="40" fillId="18" borderId="0" xfId="1" applyFont="1" applyFill="1" applyAlignment="1">
      <alignment horizontal="center"/>
    </xf>
    <xf numFmtId="0" fontId="0" fillId="0" borderId="0" xfId="0" applyBorder="1"/>
    <xf numFmtId="43" fontId="0" fillId="0" borderId="0" xfId="0" applyNumberFormat="1" applyBorder="1"/>
    <xf numFmtId="0" fontId="40" fillId="0" borderId="0" xfId="0" applyFont="1" applyAlignment="1">
      <alignment horizontal="center"/>
    </xf>
    <xf numFmtId="43" fontId="19" fillId="18" borderId="0" xfId="1" applyFont="1" applyFill="1"/>
    <xf numFmtId="0" fontId="18" fillId="0" borderId="4" xfId="0" applyFont="1" applyBorder="1"/>
    <xf numFmtId="0" fontId="18" fillId="0" borderId="4" xfId="0" applyFont="1" applyBorder="1" applyAlignment="1">
      <alignment horizontal="center"/>
    </xf>
    <xf numFmtId="0" fontId="55" fillId="0" borderId="4" xfId="0" applyFont="1" applyBorder="1"/>
    <xf numFmtId="43" fontId="19" fillId="0" borderId="0" xfId="1" applyFont="1" applyFill="1"/>
    <xf numFmtId="43" fontId="40" fillId="20" borderId="0" xfId="1" applyFont="1" applyFill="1"/>
    <xf numFmtId="43" fontId="13" fillId="21" borderId="0" xfId="1" applyFont="1" applyFill="1"/>
    <xf numFmtId="0" fontId="7" fillId="0" borderId="0" xfId="0" applyFont="1"/>
    <xf numFmtId="0" fontId="57" fillId="0" borderId="0" xfId="0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55" fillId="0" borderId="18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5" fillId="0" borderId="60" xfId="0" applyFont="1" applyBorder="1" applyAlignment="1">
      <alignment horizontal="center"/>
    </xf>
    <xf numFmtId="43" fontId="55" fillId="0" borderId="60" xfId="1" applyNumberFormat="1" applyFont="1" applyBorder="1" applyAlignment="1">
      <alignment horizontal="center"/>
    </xf>
    <xf numFmtId="0" fontId="55" fillId="0" borderId="19" xfId="0" applyFont="1" applyBorder="1" applyAlignment="1">
      <alignment horizontal="center"/>
    </xf>
    <xf numFmtId="43" fontId="54" fillId="0" borderId="18" xfId="1" applyFont="1" applyBorder="1" applyAlignment="1">
      <alignment horizontal="center"/>
    </xf>
    <xf numFmtId="0" fontId="51" fillId="0" borderId="0" xfId="0" applyFont="1"/>
    <xf numFmtId="3" fontId="55" fillId="0" borderId="13" xfId="0" applyNumberFormat="1" applyFont="1" applyBorder="1" applyAlignment="1">
      <alignment horizontal="center"/>
    </xf>
    <xf numFmtId="43" fontId="54" fillId="0" borderId="60" xfId="1" applyFont="1" applyBorder="1" applyAlignment="1">
      <alignment horizontal="center"/>
    </xf>
    <xf numFmtId="0" fontId="55" fillId="0" borderId="13" xfId="0" applyFont="1" applyBorder="1" applyAlignment="1">
      <alignment horizontal="left"/>
    </xf>
    <xf numFmtId="0" fontId="55" fillId="0" borderId="0" xfId="0" applyFont="1" applyBorder="1" applyAlignment="1">
      <alignment horizontal="left"/>
    </xf>
    <xf numFmtId="0" fontId="55" fillId="0" borderId="35" xfId="0" applyFont="1" applyBorder="1" applyAlignment="1">
      <alignment horizontal="left"/>
    </xf>
    <xf numFmtId="43" fontId="55" fillId="0" borderId="60" xfId="1" applyFont="1" applyBorder="1" applyAlignment="1">
      <alignment horizontal="center"/>
    </xf>
    <xf numFmtId="43" fontId="54" fillId="0" borderId="21" xfId="1" applyFont="1" applyBorder="1" applyAlignment="1">
      <alignment horizontal="center"/>
    </xf>
    <xf numFmtId="0" fontId="55" fillId="0" borderId="22" xfId="0" applyFont="1" applyBorder="1" applyAlignment="1">
      <alignment horizontal="left"/>
    </xf>
    <xf numFmtId="0" fontId="55" fillId="0" borderId="33" xfId="0" applyFont="1" applyBorder="1" applyAlignment="1">
      <alignment horizontal="left"/>
    </xf>
    <xf numFmtId="0" fontId="55" fillId="0" borderId="23" xfId="0" applyFont="1" applyBorder="1" applyAlignment="1">
      <alignment horizontal="left"/>
    </xf>
    <xf numFmtId="43" fontId="55" fillId="0" borderId="21" xfId="1" applyFont="1" applyBorder="1" applyAlignment="1">
      <alignment horizontal="center"/>
    </xf>
    <xf numFmtId="3" fontId="55" fillId="0" borderId="22" xfId="0" applyNumberFormat="1" applyFont="1" applyBorder="1" applyAlignment="1">
      <alignment horizontal="center"/>
    </xf>
    <xf numFmtId="43" fontId="54" fillId="0" borderId="0" xfId="1" applyFont="1" applyBorder="1" applyAlignment="1">
      <alignment horizontal="center"/>
    </xf>
    <xf numFmtId="43" fontId="0" fillId="13" borderId="0" xfId="1" applyFont="1" applyFill="1"/>
    <xf numFmtId="0" fontId="55" fillId="0" borderId="13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59" fillId="0" borderId="18" xfId="0" applyFont="1" applyBorder="1" applyAlignment="1">
      <alignment horizontal="center"/>
    </xf>
    <xf numFmtId="0" fontId="59" fillId="0" borderId="21" xfId="0" applyFont="1" applyBorder="1" applyAlignment="1">
      <alignment horizontal="center"/>
    </xf>
    <xf numFmtId="0" fontId="59" fillId="0" borderId="60" xfId="0" applyFont="1" applyBorder="1" applyAlignment="1">
      <alignment horizontal="center"/>
    </xf>
    <xf numFmtId="43" fontId="55" fillId="0" borderId="18" xfId="1" applyFont="1" applyBorder="1" applyAlignment="1">
      <alignment horizontal="center"/>
    </xf>
    <xf numFmtId="43" fontId="7" fillId="13" borderId="0" xfId="1" applyFont="1" applyFill="1"/>
    <xf numFmtId="43" fontId="62" fillId="0" borderId="0" xfId="1" applyFont="1" applyBorder="1" applyAlignment="1">
      <alignment horizontal="center"/>
    </xf>
    <xf numFmtId="0" fontId="55" fillId="0" borderId="0" xfId="0" applyFont="1" applyBorder="1"/>
    <xf numFmtId="0" fontId="7" fillId="0" borderId="0" xfId="0" applyFont="1" applyBorder="1"/>
    <xf numFmtId="43" fontId="55" fillId="0" borderId="5" xfId="1" applyNumberFormat="1" applyFont="1" applyBorder="1" applyAlignment="1">
      <alignment horizontal="center"/>
    </xf>
    <xf numFmtId="0" fontId="55" fillId="0" borderId="1" xfId="0" applyFont="1" applyBorder="1" applyAlignment="1">
      <alignment horizontal="center"/>
    </xf>
    <xf numFmtId="43" fontId="54" fillId="0" borderId="5" xfId="1" applyFont="1" applyBorder="1" applyAlignment="1">
      <alignment horizontal="center"/>
    </xf>
    <xf numFmtId="43" fontId="7" fillId="13" borderId="0" xfId="1" applyFont="1" applyFill="1" applyBorder="1"/>
    <xf numFmtId="43" fontId="55" fillId="0" borderId="5" xfId="1" applyFont="1" applyBorder="1" applyAlignment="1">
      <alignment horizontal="center"/>
    </xf>
    <xf numFmtId="43" fontId="0" fillId="13" borderId="0" xfId="1" applyFont="1" applyFill="1" applyBorder="1"/>
    <xf numFmtId="43" fontId="40" fillId="2" borderId="0" xfId="0" applyNumberFormat="1" applyFont="1" applyFill="1"/>
    <xf numFmtId="43" fontId="40" fillId="21" borderId="0" xfId="0" applyNumberFormat="1" applyFont="1" applyFill="1"/>
    <xf numFmtId="3" fontId="59" fillId="0" borderId="22" xfId="0" applyNumberFormat="1" applyFont="1" applyBorder="1" applyAlignment="1">
      <alignment horizontal="center"/>
    </xf>
    <xf numFmtId="3" fontId="55" fillId="0" borderId="1" xfId="0" applyNumberFormat="1" applyFont="1" applyBorder="1" applyAlignment="1">
      <alignment horizontal="center"/>
    </xf>
    <xf numFmtId="43" fontId="55" fillId="0" borderId="0" xfId="1" applyNumberFormat="1" applyFont="1" applyBorder="1" applyAlignment="1">
      <alignment horizontal="center"/>
    </xf>
    <xf numFmtId="3" fontId="55" fillId="0" borderId="0" xfId="0" applyNumberFormat="1" applyFont="1" applyBorder="1" applyAlignment="1">
      <alignment horizontal="center"/>
    </xf>
    <xf numFmtId="43" fontId="7" fillId="2" borderId="0" xfId="1" applyFont="1" applyFill="1" applyBorder="1"/>
    <xf numFmtId="0" fontId="63" fillId="0" borderId="0" xfId="0" applyFont="1"/>
    <xf numFmtId="0" fontId="50" fillId="0" borderId="24" xfId="0" applyFont="1" applyBorder="1" applyAlignment="1">
      <alignment horizontal="center"/>
    </xf>
    <xf numFmtId="0" fontId="50" fillId="0" borderId="25" xfId="0" applyFont="1" applyBorder="1" applyAlignment="1">
      <alignment horizontal="center"/>
    </xf>
    <xf numFmtId="0" fontId="50" fillId="0" borderId="2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51" xfId="0" applyFont="1" applyBorder="1" applyAlignment="1">
      <alignment horizontal="center"/>
    </xf>
    <xf numFmtId="3" fontId="40" fillId="0" borderId="0" xfId="0" applyNumberFormat="1" applyFont="1" applyAlignment="1">
      <alignment horizontal="center"/>
    </xf>
    <xf numFmtId="43" fontId="19" fillId="2" borderId="0" xfId="1" applyFont="1" applyFill="1"/>
    <xf numFmtId="0" fontId="10" fillId="0" borderId="0" xfId="0" applyFont="1" applyBorder="1"/>
    <xf numFmtId="0" fontId="40" fillId="2" borderId="0" xfId="0" applyFont="1" applyFill="1" applyBorder="1" applyAlignment="1">
      <alignment horizontal="center"/>
    </xf>
    <xf numFmtId="43" fontId="40" fillId="2" borderId="0" xfId="1" applyFont="1" applyFill="1" applyBorder="1" applyAlignment="1">
      <alignment horizontal="center"/>
    </xf>
    <xf numFmtId="43" fontId="19" fillId="2" borderId="0" xfId="1" applyFont="1" applyFill="1" applyBorder="1" applyAlignment="1">
      <alignment horizontal="center"/>
    </xf>
    <xf numFmtId="43" fontId="55" fillId="0" borderId="18" xfId="1" applyNumberFormat="1" applyFont="1" applyBorder="1" applyAlignment="1">
      <alignment horizontal="center"/>
    </xf>
    <xf numFmtId="3" fontId="55" fillId="0" borderId="19" xfId="0" applyNumberFormat="1" applyFont="1" applyBorder="1" applyAlignment="1">
      <alignment horizontal="center"/>
    </xf>
    <xf numFmtId="43" fontId="55" fillId="0" borderId="63" xfId="1" applyFont="1" applyBorder="1" applyAlignment="1">
      <alignment horizontal="center"/>
    </xf>
    <xf numFmtId="3" fontId="55" fillId="0" borderId="61" xfId="0" applyNumberFormat="1" applyFont="1" applyBorder="1" applyAlignment="1">
      <alignment horizontal="center"/>
    </xf>
    <xf numFmtId="43" fontId="54" fillId="0" borderId="63" xfId="1" applyFont="1" applyBorder="1" applyAlignment="1">
      <alignment horizontal="center"/>
    </xf>
    <xf numFmtId="43" fontId="55" fillId="0" borderId="0" xfId="1" applyFont="1" applyBorder="1" applyAlignment="1">
      <alignment horizontal="center"/>
    </xf>
    <xf numFmtId="43" fontId="64" fillId="18" borderId="0" xfId="0" applyNumberFormat="1" applyFont="1" applyFill="1"/>
    <xf numFmtId="43" fontId="54" fillId="0" borderId="52" xfId="1" applyFont="1" applyBorder="1" applyAlignment="1">
      <alignment horizontal="center"/>
    </xf>
    <xf numFmtId="43" fontId="54" fillId="0" borderId="53" xfId="1" applyFont="1" applyBorder="1" applyAlignment="1">
      <alignment horizontal="center"/>
    </xf>
    <xf numFmtId="43" fontId="54" fillId="0" borderId="64" xfId="1" applyFont="1" applyBorder="1" applyAlignment="1">
      <alignment horizontal="center"/>
    </xf>
    <xf numFmtId="43" fontId="40" fillId="17" borderId="28" xfId="1" applyFont="1" applyFill="1" applyBorder="1" applyAlignment="1">
      <alignment horizontal="center"/>
    </xf>
    <xf numFmtId="3" fontId="3" fillId="0" borderId="6" xfId="2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0" fontId="9" fillId="0" borderId="4" xfId="0" applyFont="1" applyBorder="1"/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0" fontId="9" fillId="0" borderId="4" xfId="0" applyFont="1" applyBorder="1" applyAlignment="1">
      <alignment vertical="center"/>
    </xf>
    <xf numFmtId="43" fontId="4" fillId="0" borderId="4" xfId="1" applyFont="1" applyFill="1" applyBorder="1" applyAlignment="1">
      <alignment horizontal="center"/>
    </xf>
    <xf numFmtId="0" fontId="34" fillId="16" borderId="0" xfId="0" applyFont="1" applyFill="1" applyBorder="1" applyAlignment="1">
      <alignment vertical="center" wrapText="1"/>
    </xf>
    <xf numFmtId="0" fontId="38" fillId="16" borderId="0" xfId="0" applyFont="1" applyFill="1" applyBorder="1" applyAlignment="1">
      <alignment vertical="center" wrapText="1"/>
    </xf>
    <xf numFmtId="0" fontId="38" fillId="16" borderId="35" xfId="0" applyFont="1" applyFill="1" applyBorder="1" applyAlignment="1">
      <alignment vertical="center" wrapText="1"/>
    </xf>
    <xf numFmtId="0" fontId="31" fillId="0" borderId="25" xfId="2" applyFont="1" applyFill="1" applyBorder="1" applyAlignment="1">
      <alignment vertical="center" wrapText="1"/>
    </xf>
    <xf numFmtId="0" fontId="31" fillId="0" borderId="30" xfId="2" applyFont="1" applyFill="1" applyBorder="1" applyAlignment="1">
      <alignment vertical="center" wrapText="1"/>
    </xf>
    <xf numFmtId="0" fontId="31" fillId="0" borderId="30" xfId="2" applyFont="1" applyFill="1" applyBorder="1" applyAlignment="1">
      <alignment horizontal="left" vertical="center" wrapText="1"/>
    </xf>
    <xf numFmtId="0" fontId="32" fillId="2" borderId="45" xfId="0" applyFont="1" applyFill="1" applyBorder="1" applyAlignment="1">
      <alignment horizontal="center" vertical="center" wrapText="1"/>
    </xf>
    <xf numFmtId="0" fontId="32" fillId="2" borderId="46" xfId="0" applyFont="1" applyFill="1" applyBorder="1" applyAlignment="1">
      <alignment horizontal="center" vertical="center" wrapText="1"/>
    </xf>
    <xf numFmtId="0" fontId="32" fillId="2" borderId="47" xfId="0" applyFont="1" applyFill="1" applyBorder="1" applyAlignment="1">
      <alignment horizontal="center" vertical="center" wrapText="1"/>
    </xf>
    <xf numFmtId="0" fontId="39" fillId="2" borderId="24" xfId="0" applyFont="1" applyFill="1" applyBorder="1" applyAlignment="1">
      <alignment horizontal="center" vertical="center" wrapText="1"/>
    </xf>
    <xf numFmtId="0" fontId="39" fillId="2" borderId="27" xfId="0" applyFont="1" applyFill="1" applyBorder="1" applyAlignment="1">
      <alignment horizontal="center" vertical="center" wrapText="1"/>
    </xf>
    <xf numFmtId="0" fontId="39" fillId="2" borderId="29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2" fillId="2" borderId="29" xfId="0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4" fontId="34" fillId="0" borderId="25" xfId="0" applyNumberFormat="1" applyFont="1" applyFill="1" applyBorder="1" applyAlignment="1">
      <alignment horizontal="center" vertical="center" wrapText="1"/>
    </xf>
    <xf numFmtId="4" fontId="34" fillId="0" borderId="4" xfId="0" applyNumberFormat="1" applyFont="1" applyFill="1" applyBorder="1" applyAlignment="1">
      <alignment horizontal="center" vertical="center" wrapText="1"/>
    </xf>
    <xf numFmtId="4" fontId="34" fillId="0" borderId="30" xfId="0" applyNumberFormat="1" applyFont="1" applyFill="1" applyBorder="1" applyAlignment="1">
      <alignment horizontal="center" vertical="center" wrapText="1"/>
    </xf>
    <xf numFmtId="4" fontId="33" fillId="0" borderId="34" xfId="0" applyNumberFormat="1" applyFont="1" applyFill="1" applyBorder="1" applyAlignment="1">
      <alignment horizontal="center" vertical="center" wrapText="1"/>
    </xf>
    <xf numFmtId="4" fontId="33" fillId="0" borderId="41" xfId="0" applyNumberFormat="1" applyFont="1" applyFill="1" applyBorder="1" applyAlignment="1">
      <alignment horizontal="center" vertical="center" wrapText="1"/>
    </xf>
    <xf numFmtId="4" fontId="33" fillId="0" borderId="17" xfId="0" applyNumberFormat="1" applyFont="1" applyFill="1" applyBorder="1" applyAlignment="1">
      <alignment horizontal="center" vertical="center" wrapText="1"/>
    </xf>
    <xf numFmtId="4" fontId="33" fillId="0" borderId="42" xfId="0" applyNumberFormat="1" applyFont="1" applyFill="1" applyBorder="1" applyAlignment="1">
      <alignment horizontal="center" vertical="center" wrapText="1"/>
    </xf>
    <xf numFmtId="4" fontId="33" fillId="0" borderId="36" xfId="0" applyNumberFormat="1" applyFont="1" applyFill="1" applyBorder="1" applyAlignment="1">
      <alignment horizontal="center" vertical="center" wrapText="1"/>
    </xf>
    <xf numFmtId="4" fontId="33" fillId="0" borderId="43" xfId="0" applyNumberFormat="1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32" fillId="0" borderId="36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4" fontId="34" fillId="0" borderId="34" xfId="0" applyNumberFormat="1" applyFont="1" applyFill="1" applyBorder="1" applyAlignment="1">
      <alignment horizontal="center" vertical="center" wrapText="1"/>
    </xf>
    <xf numFmtId="4" fontId="34" fillId="0" borderId="41" xfId="0" applyNumberFormat="1" applyFont="1" applyFill="1" applyBorder="1" applyAlignment="1">
      <alignment horizontal="center" vertical="center" wrapText="1"/>
    </xf>
    <xf numFmtId="4" fontId="34" fillId="0" borderId="17" xfId="0" applyNumberFormat="1" applyFont="1" applyFill="1" applyBorder="1" applyAlignment="1">
      <alignment horizontal="center" vertical="center" wrapText="1"/>
    </xf>
    <xf numFmtId="4" fontId="34" fillId="0" borderId="42" xfId="0" applyNumberFormat="1" applyFont="1" applyFill="1" applyBorder="1" applyAlignment="1">
      <alignment horizontal="center" vertical="center" wrapText="1"/>
    </xf>
    <xf numFmtId="4" fontId="34" fillId="0" borderId="36" xfId="0" applyNumberFormat="1" applyFont="1" applyFill="1" applyBorder="1" applyAlignment="1">
      <alignment horizontal="center" vertical="center" wrapText="1"/>
    </xf>
    <xf numFmtId="4" fontId="34" fillId="0" borderId="43" xfId="0" applyNumberFormat="1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36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38" fillId="16" borderId="1" xfId="0" applyFont="1" applyFill="1" applyBorder="1" applyAlignment="1">
      <alignment horizontal="left" vertical="center" wrapText="1"/>
    </xf>
    <xf numFmtId="0" fontId="38" fillId="16" borderId="2" xfId="0" applyFont="1" applyFill="1" applyBorder="1" applyAlignment="1">
      <alignment horizontal="left" vertical="center" wrapText="1"/>
    </xf>
    <xf numFmtId="10" fontId="32" fillId="2" borderId="4" xfId="0" applyNumberFormat="1" applyFont="1" applyFill="1" applyBorder="1" applyAlignment="1">
      <alignment horizontal="center" vertical="center" wrapText="1"/>
    </xf>
    <xf numFmtId="0" fontId="38" fillId="16" borderId="19" xfId="0" applyFont="1" applyFill="1" applyBorder="1" applyAlignment="1">
      <alignment horizontal="left" vertical="center" wrapText="1"/>
    </xf>
    <xf numFmtId="0" fontId="38" fillId="16" borderId="32" xfId="0" applyFont="1" applyFill="1" applyBorder="1" applyAlignment="1">
      <alignment horizontal="left" vertical="center" wrapText="1"/>
    </xf>
    <xf numFmtId="0" fontId="39" fillId="0" borderId="30" xfId="0" applyFont="1" applyFill="1" applyBorder="1" applyAlignment="1">
      <alignment horizontal="left" vertical="center" wrapText="1"/>
    </xf>
    <xf numFmtId="10" fontId="32" fillId="2" borderId="30" xfId="0" applyNumberFormat="1" applyFont="1" applyFill="1" applyBorder="1" applyAlignment="1">
      <alignment horizontal="center" vertical="center" wrapText="1"/>
    </xf>
    <xf numFmtId="0" fontId="33" fillId="0" borderId="22" xfId="0" applyFont="1" applyBorder="1" applyAlignment="1">
      <alignment vertical="center" wrapText="1"/>
    </xf>
    <xf numFmtId="0" fontId="33" fillId="0" borderId="33" xfId="0" applyFont="1" applyBorder="1" applyAlignment="1">
      <alignment vertical="center" wrapText="1"/>
    </xf>
    <xf numFmtId="0" fontId="33" fillId="0" borderId="23" xfId="0" applyFont="1" applyBorder="1" applyAlignment="1">
      <alignment vertical="center" wrapText="1"/>
    </xf>
    <xf numFmtId="0" fontId="36" fillId="15" borderId="1" xfId="0" applyFont="1" applyFill="1" applyBorder="1" applyAlignment="1">
      <alignment horizontal="center" vertical="center" wrapText="1"/>
    </xf>
    <xf numFmtId="0" fontId="36" fillId="15" borderId="2" xfId="0" applyFont="1" applyFill="1" applyBorder="1" applyAlignment="1">
      <alignment horizontal="center" vertical="center" wrapText="1"/>
    </xf>
    <xf numFmtId="0" fontId="36" fillId="15" borderId="3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6" fillId="16" borderId="18" xfId="0" applyFont="1" applyFill="1" applyBorder="1" applyAlignment="1">
      <alignment horizontal="center" vertical="center" wrapText="1"/>
    </xf>
    <xf numFmtId="0" fontId="36" fillId="16" borderId="21" xfId="0" applyFont="1" applyFill="1" applyBorder="1" applyAlignment="1">
      <alignment horizontal="center" vertical="center" wrapText="1"/>
    </xf>
    <xf numFmtId="0" fontId="36" fillId="16" borderId="1" xfId="0" applyFont="1" applyFill="1" applyBorder="1" applyAlignment="1">
      <alignment horizontal="center" vertical="center" wrapText="1"/>
    </xf>
    <xf numFmtId="0" fontId="36" fillId="16" borderId="2" xfId="0" applyFont="1" applyFill="1" applyBorder="1" applyAlignment="1">
      <alignment horizontal="center" vertical="center" wrapText="1"/>
    </xf>
    <xf numFmtId="0" fontId="36" fillId="16" borderId="19" xfId="0" applyFont="1" applyFill="1" applyBorder="1" applyAlignment="1">
      <alignment horizontal="center" vertical="center" wrapText="1"/>
    </xf>
    <xf numFmtId="0" fontId="36" fillId="16" borderId="20" xfId="0" applyFont="1" applyFill="1" applyBorder="1" applyAlignment="1">
      <alignment horizontal="center" vertical="center" wrapText="1"/>
    </xf>
    <xf numFmtId="0" fontId="36" fillId="16" borderId="22" xfId="0" applyFont="1" applyFill="1" applyBorder="1" applyAlignment="1">
      <alignment horizontal="center" vertical="center" wrapText="1"/>
    </xf>
    <xf numFmtId="0" fontId="36" fillId="16" borderId="23" xfId="0" applyFont="1" applyFill="1" applyBorder="1" applyAlignment="1">
      <alignment horizontal="center" vertical="center" wrapText="1"/>
    </xf>
    <xf numFmtId="0" fontId="36" fillId="16" borderId="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left" vertical="center" wrapText="1"/>
    </xf>
    <xf numFmtId="0" fontId="39" fillId="0" borderId="8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7" fillId="12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0" fontId="37" fillId="0" borderId="3" xfId="0" applyFont="1" applyBorder="1" applyAlignment="1">
      <alignment vertical="center" wrapText="1"/>
    </xf>
    <xf numFmtId="0" fontId="6" fillId="16" borderId="22" xfId="0" applyFont="1" applyFill="1" applyBorder="1" applyAlignment="1">
      <alignment horizontal="left" vertical="center" wrapText="1"/>
    </xf>
    <xf numFmtId="0" fontId="6" fillId="16" borderId="33" xfId="0" applyFont="1" applyFill="1" applyBorder="1" applyAlignment="1">
      <alignment horizontal="left" vertical="center" wrapText="1"/>
    </xf>
    <xf numFmtId="0" fontId="28" fillId="13" borderId="0" xfId="0" applyFont="1" applyFill="1" applyBorder="1" applyAlignment="1">
      <alignment horizontal="center" vertical="center" wrapText="1"/>
    </xf>
    <xf numFmtId="0" fontId="38" fillId="16" borderId="13" xfId="0" applyFont="1" applyFill="1" applyBorder="1" applyAlignment="1">
      <alignment horizontal="left" vertical="center" wrapText="1"/>
    </xf>
    <xf numFmtId="0" fontId="38" fillId="16" borderId="0" xfId="0" applyFont="1" applyFill="1" applyBorder="1" applyAlignment="1">
      <alignment horizontal="left" vertical="center" wrapText="1"/>
    </xf>
    <xf numFmtId="0" fontId="34" fillId="0" borderId="25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4" fillId="0" borderId="30" xfId="0" applyFont="1" applyFill="1" applyBorder="1" applyAlignment="1">
      <alignment horizontal="center" vertical="center" wrapText="1"/>
    </xf>
    <xf numFmtId="4" fontId="38" fillId="15" borderId="1" xfId="0" applyNumberFormat="1" applyFont="1" applyFill="1" applyBorder="1" applyAlignment="1">
      <alignment horizontal="center" vertical="center"/>
    </xf>
    <xf numFmtId="0" fontId="38" fillId="15" borderId="3" xfId="0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43" fontId="4" fillId="14" borderId="6" xfId="1" applyFont="1" applyFill="1" applyBorder="1" applyAlignment="1">
      <alignment horizontal="right" vertical="center" wrapText="1"/>
    </xf>
    <xf numFmtId="43" fontId="4" fillId="14" borderId="7" xfId="1" applyFont="1" applyFill="1" applyBorder="1" applyAlignment="1">
      <alignment horizontal="right" vertical="center" wrapText="1"/>
    </xf>
    <xf numFmtId="43" fontId="4" fillId="14" borderId="8" xfId="1" applyFont="1" applyFill="1" applyBorder="1" applyAlignment="1">
      <alignment horizontal="right" vertical="center" wrapText="1"/>
    </xf>
    <xf numFmtId="3" fontId="4" fillId="3" borderId="9" xfId="0" applyNumberFormat="1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4" fontId="35" fillId="15" borderId="9" xfId="0" applyNumberFormat="1" applyFont="1" applyFill="1" applyBorder="1" applyAlignment="1">
      <alignment horizontal="center" vertical="center" wrapText="1"/>
    </xf>
    <xf numFmtId="4" fontId="35" fillId="15" borderId="11" xfId="0" applyNumberFormat="1" applyFont="1" applyFill="1" applyBorder="1" applyAlignment="1">
      <alignment horizontal="center" vertical="center" wrapText="1"/>
    </xf>
    <xf numFmtId="0" fontId="35" fillId="15" borderId="9" xfId="0" applyFont="1" applyFill="1" applyBorder="1" applyAlignment="1">
      <alignment horizontal="center" vertical="center" wrapText="1"/>
    </xf>
    <xf numFmtId="0" fontId="35" fillId="15" borderId="11" xfId="0" applyFont="1" applyFill="1" applyBorder="1" applyAlignment="1">
      <alignment horizontal="center" vertical="center" wrapText="1"/>
    </xf>
    <xf numFmtId="3" fontId="35" fillId="15" borderId="9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64" fillId="18" borderId="0" xfId="0" applyFont="1" applyFill="1" applyAlignment="1">
      <alignment horizontal="left"/>
    </xf>
    <xf numFmtId="0" fontId="60" fillId="0" borderId="19" xfId="0" applyFont="1" applyBorder="1" applyAlignment="1">
      <alignment horizontal="center"/>
    </xf>
    <xf numFmtId="0" fontId="60" fillId="0" borderId="32" xfId="0" applyFont="1" applyBorder="1" applyAlignment="1">
      <alignment horizontal="center"/>
    </xf>
    <xf numFmtId="0" fontId="60" fillId="0" borderId="20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33" xfId="0" applyFont="1" applyBorder="1" applyAlignment="1">
      <alignment horizontal="center"/>
    </xf>
    <xf numFmtId="0" fontId="59" fillId="0" borderId="23" xfId="0" applyFont="1" applyBorder="1" applyAlignment="1">
      <alignment horizontal="center"/>
    </xf>
    <xf numFmtId="0" fontId="55" fillId="0" borderId="1" xfId="0" applyFont="1" applyBorder="1" applyAlignment="1">
      <alignment horizontal="left"/>
    </xf>
    <xf numFmtId="0" fontId="55" fillId="0" borderId="2" xfId="0" applyFont="1" applyBorder="1" applyAlignment="1">
      <alignment horizontal="left"/>
    </xf>
    <xf numFmtId="0" fontId="55" fillId="0" borderId="3" xfId="0" applyFont="1" applyBorder="1" applyAlignment="1">
      <alignment horizontal="left"/>
    </xf>
    <xf numFmtId="0" fontId="60" fillId="0" borderId="1" xfId="0" applyFont="1" applyBorder="1" applyAlignment="1">
      <alignment horizontal="center"/>
    </xf>
    <xf numFmtId="0" fontId="60" fillId="0" borderId="2" xfId="0" applyFont="1" applyBorder="1" applyAlignment="1">
      <alignment horizontal="center"/>
    </xf>
    <xf numFmtId="0" fontId="60" fillId="0" borderId="3" xfId="0" applyFont="1" applyBorder="1" applyAlignment="1">
      <alignment horizontal="center"/>
    </xf>
    <xf numFmtId="0" fontId="54" fillId="0" borderId="19" xfId="0" applyFont="1" applyBorder="1" applyAlignment="1">
      <alignment horizontal="center" vertical="center"/>
    </xf>
    <xf numFmtId="0" fontId="54" fillId="0" borderId="32" xfId="0" applyFont="1" applyBorder="1" applyAlignment="1">
      <alignment horizontal="center" vertical="center"/>
    </xf>
    <xf numFmtId="0" fontId="54" fillId="0" borderId="20" xfId="0" applyFont="1" applyBorder="1" applyAlignment="1">
      <alignment horizontal="center" vertical="center"/>
    </xf>
    <xf numFmtId="0" fontId="54" fillId="0" borderId="22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54" fillId="0" borderId="23" xfId="0" applyFont="1" applyBorder="1" applyAlignment="1">
      <alignment horizontal="center" vertical="center"/>
    </xf>
    <xf numFmtId="0" fontId="55" fillId="0" borderId="19" xfId="0" applyFont="1" applyBorder="1" applyAlignment="1">
      <alignment horizontal="left"/>
    </xf>
    <xf numFmtId="0" fontId="55" fillId="0" borderId="32" xfId="0" applyFont="1" applyBorder="1" applyAlignment="1">
      <alignment horizontal="left"/>
    </xf>
    <xf numFmtId="0" fontId="55" fillId="0" borderId="20" xfId="0" applyFont="1" applyBorder="1" applyAlignment="1">
      <alignment horizontal="left"/>
    </xf>
    <xf numFmtId="0" fontId="55" fillId="0" borderId="13" xfId="0" applyFont="1" applyBorder="1" applyAlignment="1">
      <alignment horizontal="left"/>
    </xf>
    <xf numFmtId="0" fontId="55" fillId="0" borderId="0" xfId="0" applyFont="1" applyBorder="1" applyAlignment="1">
      <alignment horizontal="left"/>
    </xf>
    <xf numFmtId="0" fontId="55" fillId="0" borderId="35" xfId="0" applyFont="1" applyBorder="1" applyAlignment="1">
      <alignment horizontal="left"/>
    </xf>
    <xf numFmtId="0" fontId="55" fillId="0" borderId="61" xfId="0" applyFont="1" applyBorder="1" applyAlignment="1">
      <alignment horizontal="left"/>
    </xf>
    <xf numFmtId="0" fontId="55" fillId="0" borderId="15" xfId="0" applyFont="1" applyBorder="1" applyAlignment="1">
      <alignment horizontal="left"/>
    </xf>
    <xf numFmtId="0" fontId="55" fillId="0" borderId="62" xfId="0" applyFont="1" applyBorder="1" applyAlignment="1">
      <alignment horizontal="left"/>
    </xf>
    <xf numFmtId="0" fontId="59" fillId="0" borderId="19" xfId="0" applyFont="1" applyBorder="1" applyAlignment="1">
      <alignment horizontal="center"/>
    </xf>
    <xf numFmtId="0" fontId="59" fillId="0" borderId="32" xfId="0" applyFont="1" applyBorder="1" applyAlignment="1">
      <alignment horizontal="center"/>
    </xf>
    <xf numFmtId="0" fontId="59" fillId="0" borderId="20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49" fillId="0" borderId="2" xfId="0" applyFont="1" applyBorder="1" applyAlignment="1">
      <alignment horizontal="center"/>
    </xf>
    <xf numFmtId="0" fontId="49" fillId="0" borderId="3" xfId="0" applyFont="1" applyBorder="1" applyAlignment="1">
      <alignment horizontal="center"/>
    </xf>
    <xf numFmtId="0" fontId="61" fillId="0" borderId="19" xfId="0" applyFont="1" applyBorder="1" applyAlignment="1">
      <alignment horizontal="center" vertical="center"/>
    </xf>
    <xf numFmtId="0" fontId="61" fillId="0" borderId="32" xfId="0" applyFont="1" applyBorder="1" applyAlignment="1">
      <alignment horizontal="center" vertical="center"/>
    </xf>
    <xf numFmtId="0" fontId="61" fillId="0" borderId="20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61" fillId="0" borderId="33" xfId="0" applyFont="1" applyBorder="1" applyAlignment="1">
      <alignment horizontal="center" vertical="center"/>
    </xf>
    <xf numFmtId="0" fontId="61" fillId="0" borderId="23" xfId="0" applyFont="1" applyBorder="1" applyAlignment="1">
      <alignment horizontal="center" vertical="center"/>
    </xf>
    <xf numFmtId="0" fontId="55" fillId="0" borderId="22" xfId="0" applyFont="1" applyBorder="1" applyAlignment="1">
      <alignment horizontal="left"/>
    </xf>
    <xf numFmtId="0" fontId="55" fillId="0" borderId="33" xfId="0" applyFont="1" applyBorder="1" applyAlignment="1">
      <alignment horizontal="left"/>
    </xf>
    <xf numFmtId="0" fontId="55" fillId="0" borderId="23" xfId="0" applyFont="1" applyBorder="1" applyAlignment="1">
      <alignment horizontal="left"/>
    </xf>
    <xf numFmtId="0" fontId="40" fillId="0" borderId="0" xfId="0" applyFont="1" applyBorder="1" applyAlignment="1">
      <alignment horizontal="center"/>
    </xf>
    <xf numFmtId="0" fontId="40" fillId="0" borderId="35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49" fillId="0" borderId="0" xfId="0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50" fillId="2" borderId="19" xfId="0" applyFont="1" applyFill="1" applyBorder="1" applyAlignment="1">
      <alignment horizontal="center"/>
    </xf>
    <xf numFmtId="0" fontId="50" fillId="2" borderId="32" xfId="0" applyFont="1" applyFill="1" applyBorder="1" applyAlignment="1">
      <alignment horizontal="center"/>
    </xf>
    <xf numFmtId="0" fontId="50" fillId="2" borderId="20" xfId="0" applyFont="1" applyFill="1" applyBorder="1" applyAlignment="1">
      <alignment horizontal="center"/>
    </xf>
    <xf numFmtId="0" fontId="50" fillId="2" borderId="22" xfId="0" applyFont="1" applyFill="1" applyBorder="1" applyAlignment="1">
      <alignment horizontal="center"/>
    </xf>
    <xf numFmtId="0" fontId="50" fillId="2" borderId="33" xfId="0" applyFont="1" applyFill="1" applyBorder="1" applyAlignment="1">
      <alignment horizontal="center"/>
    </xf>
    <xf numFmtId="0" fontId="50" fillId="2" borderId="23" xfId="0" applyFont="1" applyFill="1" applyBorder="1" applyAlignment="1">
      <alignment horizontal="center"/>
    </xf>
  </cellXfs>
  <cellStyles count="4">
    <cellStyle name="Millares" xfId="1" builtinId="3"/>
    <cellStyle name="Millares_Hoja1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1971675</xdr:colOff>
      <xdr:row>0</xdr:row>
      <xdr:rowOff>95250</xdr:rowOff>
    </xdr:from>
    <xdr:to>
      <xdr:col>1</xdr:col>
      <xdr:colOff>141375</xdr:colOff>
      <xdr:row>3</xdr:row>
      <xdr:rowOff>284250</xdr:rowOff>
    </xdr:to>
    <xdr:pic>
      <xdr:nvPicPr>
        <xdr:cNvPr id="2" name="Picture 3" descr="Copia%20(3)%20de%20ESCUDO%20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95250"/>
          <a:ext cx="1332000" cy="13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981075</xdr:colOff>
      <xdr:row>0</xdr:row>
      <xdr:rowOff>47625</xdr:rowOff>
    </xdr:from>
    <xdr:to>
      <xdr:col>8</xdr:col>
      <xdr:colOff>1167975</xdr:colOff>
      <xdr:row>3</xdr:row>
      <xdr:rowOff>344625</xdr:rowOff>
    </xdr:to>
    <xdr:pic>
      <xdr:nvPicPr>
        <xdr:cNvPr id="5" name="Imagen 4" descr="C:\Users\a.cedeno\Desktop\Plan Semanales\logo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87" t="9483" r="40930" b="53920"/>
        <a:stretch/>
      </xdr:blipFill>
      <xdr:spPr bwMode="auto">
        <a:xfrm>
          <a:off x="17145000" y="47625"/>
          <a:ext cx="1368000" cy="144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517566</xdr:colOff>
      <xdr:row>0</xdr:row>
      <xdr:rowOff>137555</xdr:rowOff>
    </xdr:from>
    <xdr:to>
      <xdr:col>0</xdr:col>
      <xdr:colOff>1253836</xdr:colOff>
      <xdr:row>4</xdr:row>
      <xdr:rowOff>73478</xdr:rowOff>
    </xdr:to>
    <xdr:pic>
      <xdr:nvPicPr>
        <xdr:cNvPr id="2" name="Picture 3" descr="Copia%20(3)%20de%20ESCUDO%20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66" y="137555"/>
          <a:ext cx="736270" cy="774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475382</xdr:colOff>
      <xdr:row>0</xdr:row>
      <xdr:rowOff>90908</xdr:rowOff>
    </xdr:from>
    <xdr:to>
      <xdr:col>5</xdr:col>
      <xdr:colOff>1218331</xdr:colOff>
      <xdr:row>4</xdr:row>
      <xdr:rowOff>57809</xdr:rowOff>
    </xdr:to>
    <xdr:pic>
      <xdr:nvPicPr>
        <xdr:cNvPr id="3" name="Imagen 2" descr="Resultado de imagen para digeset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9823" y="90908"/>
          <a:ext cx="742949" cy="77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view="pageBreakPreview" zoomScale="50" zoomScaleNormal="261" zoomScaleSheetLayoutView="50" zoomScalePageLayoutView="261" workbookViewId="0">
      <selection activeCell="A55" sqref="A55:A57"/>
    </sheetView>
  </sheetViews>
  <sheetFormatPr baseColWidth="10" defaultColWidth="16.88671875" defaultRowHeight="15"/>
  <cols>
    <col min="1" max="1" width="47.44140625" style="141" customWidth="1"/>
    <col min="2" max="2" width="42.109375" style="141" customWidth="1"/>
    <col min="3" max="3" width="58.6640625" style="141" customWidth="1"/>
    <col min="4" max="4" width="42.109375" style="141" customWidth="1"/>
    <col min="5" max="5" width="14.33203125" style="141" customWidth="1"/>
    <col min="6" max="6" width="13.109375" style="141" customWidth="1"/>
    <col min="7" max="8" width="17.6640625" style="141" customWidth="1"/>
    <col min="9" max="11" width="20.6640625" style="141" customWidth="1"/>
    <col min="12" max="12" width="20.44140625" style="141" bestFit="1" customWidth="1"/>
    <col min="13" max="13" width="23.44140625" style="141" customWidth="1"/>
    <col min="14" max="255" width="16.88671875" style="141"/>
    <col min="256" max="256" width="6.88671875" style="141" customWidth="1"/>
    <col min="257" max="257" width="52" style="141" customWidth="1"/>
    <col min="258" max="258" width="42.109375" style="141" customWidth="1"/>
    <col min="259" max="259" width="58.6640625" style="141" customWidth="1"/>
    <col min="260" max="260" width="42.109375" style="141" customWidth="1"/>
    <col min="261" max="261" width="14.33203125" style="141" customWidth="1"/>
    <col min="262" max="264" width="13.109375" style="141" customWidth="1"/>
    <col min="265" max="267" width="10.6640625" style="141" customWidth="1"/>
    <col min="268" max="268" width="20.44140625" style="141" bestFit="1" customWidth="1"/>
    <col min="269" max="269" width="23.44140625" style="141" customWidth="1"/>
    <col min="270" max="511" width="16.88671875" style="141"/>
    <col min="512" max="512" width="6.88671875" style="141" customWidth="1"/>
    <col min="513" max="513" width="52" style="141" customWidth="1"/>
    <col min="514" max="514" width="42.109375" style="141" customWidth="1"/>
    <col min="515" max="515" width="58.6640625" style="141" customWidth="1"/>
    <col min="516" max="516" width="42.109375" style="141" customWidth="1"/>
    <col min="517" max="517" width="14.33203125" style="141" customWidth="1"/>
    <col min="518" max="520" width="13.109375" style="141" customWidth="1"/>
    <col min="521" max="523" width="10.6640625" style="141" customWidth="1"/>
    <col min="524" max="524" width="20.44140625" style="141" bestFit="1" customWidth="1"/>
    <col min="525" max="525" width="23.44140625" style="141" customWidth="1"/>
    <col min="526" max="767" width="16.88671875" style="141"/>
    <col min="768" max="768" width="6.88671875" style="141" customWidth="1"/>
    <col min="769" max="769" width="52" style="141" customWidth="1"/>
    <col min="770" max="770" width="42.109375" style="141" customWidth="1"/>
    <col min="771" max="771" width="58.6640625" style="141" customWidth="1"/>
    <col min="772" max="772" width="42.109375" style="141" customWidth="1"/>
    <col min="773" max="773" width="14.33203125" style="141" customWidth="1"/>
    <col min="774" max="776" width="13.109375" style="141" customWidth="1"/>
    <col min="777" max="779" width="10.6640625" style="141" customWidth="1"/>
    <col min="780" max="780" width="20.44140625" style="141" bestFit="1" customWidth="1"/>
    <col min="781" max="781" width="23.44140625" style="141" customWidth="1"/>
    <col min="782" max="1023" width="16.88671875" style="141"/>
    <col min="1024" max="1024" width="6.88671875" style="141" customWidth="1"/>
    <col min="1025" max="1025" width="52" style="141" customWidth="1"/>
    <col min="1026" max="1026" width="42.109375" style="141" customWidth="1"/>
    <col min="1027" max="1027" width="58.6640625" style="141" customWidth="1"/>
    <col min="1028" max="1028" width="42.109375" style="141" customWidth="1"/>
    <col min="1029" max="1029" width="14.33203125" style="141" customWidth="1"/>
    <col min="1030" max="1032" width="13.109375" style="141" customWidth="1"/>
    <col min="1033" max="1035" width="10.6640625" style="141" customWidth="1"/>
    <col min="1036" max="1036" width="20.44140625" style="141" bestFit="1" customWidth="1"/>
    <col min="1037" max="1037" width="23.44140625" style="141" customWidth="1"/>
    <col min="1038" max="1279" width="16.88671875" style="141"/>
    <col min="1280" max="1280" width="6.88671875" style="141" customWidth="1"/>
    <col min="1281" max="1281" width="52" style="141" customWidth="1"/>
    <col min="1282" max="1282" width="42.109375" style="141" customWidth="1"/>
    <col min="1283" max="1283" width="58.6640625" style="141" customWidth="1"/>
    <col min="1284" max="1284" width="42.109375" style="141" customWidth="1"/>
    <col min="1285" max="1285" width="14.33203125" style="141" customWidth="1"/>
    <col min="1286" max="1288" width="13.109375" style="141" customWidth="1"/>
    <col min="1289" max="1291" width="10.6640625" style="141" customWidth="1"/>
    <col min="1292" max="1292" width="20.44140625" style="141" bestFit="1" customWidth="1"/>
    <col min="1293" max="1293" width="23.44140625" style="141" customWidth="1"/>
    <col min="1294" max="1535" width="16.88671875" style="141"/>
    <col min="1536" max="1536" width="6.88671875" style="141" customWidth="1"/>
    <col min="1537" max="1537" width="52" style="141" customWidth="1"/>
    <col min="1538" max="1538" width="42.109375" style="141" customWidth="1"/>
    <col min="1539" max="1539" width="58.6640625" style="141" customWidth="1"/>
    <col min="1540" max="1540" width="42.109375" style="141" customWidth="1"/>
    <col min="1541" max="1541" width="14.33203125" style="141" customWidth="1"/>
    <col min="1542" max="1544" width="13.109375" style="141" customWidth="1"/>
    <col min="1545" max="1547" width="10.6640625" style="141" customWidth="1"/>
    <col min="1548" max="1548" width="20.44140625" style="141" bestFit="1" customWidth="1"/>
    <col min="1549" max="1549" width="23.44140625" style="141" customWidth="1"/>
    <col min="1550" max="1791" width="16.88671875" style="141"/>
    <col min="1792" max="1792" width="6.88671875" style="141" customWidth="1"/>
    <col min="1793" max="1793" width="52" style="141" customWidth="1"/>
    <col min="1794" max="1794" width="42.109375" style="141" customWidth="1"/>
    <col min="1795" max="1795" width="58.6640625" style="141" customWidth="1"/>
    <col min="1796" max="1796" width="42.109375" style="141" customWidth="1"/>
    <col min="1797" max="1797" width="14.33203125" style="141" customWidth="1"/>
    <col min="1798" max="1800" width="13.109375" style="141" customWidth="1"/>
    <col min="1801" max="1803" width="10.6640625" style="141" customWidth="1"/>
    <col min="1804" max="1804" width="20.44140625" style="141" bestFit="1" customWidth="1"/>
    <col min="1805" max="1805" width="23.44140625" style="141" customWidth="1"/>
    <col min="1806" max="2047" width="16.88671875" style="141"/>
    <col min="2048" max="2048" width="6.88671875" style="141" customWidth="1"/>
    <col min="2049" max="2049" width="52" style="141" customWidth="1"/>
    <col min="2050" max="2050" width="42.109375" style="141" customWidth="1"/>
    <col min="2051" max="2051" width="58.6640625" style="141" customWidth="1"/>
    <col min="2052" max="2052" width="42.109375" style="141" customWidth="1"/>
    <col min="2053" max="2053" width="14.33203125" style="141" customWidth="1"/>
    <col min="2054" max="2056" width="13.109375" style="141" customWidth="1"/>
    <col min="2057" max="2059" width="10.6640625" style="141" customWidth="1"/>
    <col min="2060" max="2060" width="20.44140625" style="141" bestFit="1" customWidth="1"/>
    <col min="2061" max="2061" width="23.44140625" style="141" customWidth="1"/>
    <col min="2062" max="2303" width="16.88671875" style="141"/>
    <col min="2304" max="2304" width="6.88671875" style="141" customWidth="1"/>
    <col min="2305" max="2305" width="52" style="141" customWidth="1"/>
    <col min="2306" max="2306" width="42.109375" style="141" customWidth="1"/>
    <col min="2307" max="2307" width="58.6640625" style="141" customWidth="1"/>
    <col min="2308" max="2308" width="42.109375" style="141" customWidth="1"/>
    <col min="2309" max="2309" width="14.33203125" style="141" customWidth="1"/>
    <col min="2310" max="2312" width="13.109375" style="141" customWidth="1"/>
    <col min="2313" max="2315" width="10.6640625" style="141" customWidth="1"/>
    <col min="2316" max="2316" width="20.44140625" style="141" bestFit="1" customWidth="1"/>
    <col min="2317" max="2317" width="23.44140625" style="141" customWidth="1"/>
    <col min="2318" max="2559" width="16.88671875" style="141"/>
    <col min="2560" max="2560" width="6.88671875" style="141" customWidth="1"/>
    <col min="2561" max="2561" width="52" style="141" customWidth="1"/>
    <col min="2562" max="2562" width="42.109375" style="141" customWidth="1"/>
    <col min="2563" max="2563" width="58.6640625" style="141" customWidth="1"/>
    <col min="2564" max="2564" width="42.109375" style="141" customWidth="1"/>
    <col min="2565" max="2565" width="14.33203125" style="141" customWidth="1"/>
    <col min="2566" max="2568" width="13.109375" style="141" customWidth="1"/>
    <col min="2569" max="2571" width="10.6640625" style="141" customWidth="1"/>
    <col min="2572" max="2572" width="20.44140625" style="141" bestFit="1" customWidth="1"/>
    <col min="2573" max="2573" width="23.44140625" style="141" customWidth="1"/>
    <col min="2574" max="2815" width="16.88671875" style="141"/>
    <col min="2816" max="2816" width="6.88671875" style="141" customWidth="1"/>
    <col min="2817" max="2817" width="52" style="141" customWidth="1"/>
    <col min="2818" max="2818" width="42.109375" style="141" customWidth="1"/>
    <col min="2819" max="2819" width="58.6640625" style="141" customWidth="1"/>
    <col min="2820" max="2820" width="42.109375" style="141" customWidth="1"/>
    <col min="2821" max="2821" width="14.33203125" style="141" customWidth="1"/>
    <col min="2822" max="2824" width="13.109375" style="141" customWidth="1"/>
    <col min="2825" max="2827" width="10.6640625" style="141" customWidth="1"/>
    <col min="2828" max="2828" width="20.44140625" style="141" bestFit="1" customWidth="1"/>
    <col min="2829" max="2829" width="23.44140625" style="141" customWidth="1"/>
    <col min="2830" max="3071" width="16.88671875" style="141"/>
    <col min="3072" max="3072" width="6.88671875" style="141" customWidth="1"/>
    <col min="3073" max="3073" width="52" style="141" customWidth="1"/>
    <col min="3074" max="3074" width="42.109375" style="141" customWidth="1"/>
    <col min="3075" max="3075" width="58.6640625" style="141" customWidth="1"/>
    <col min="3076" max="3076" width="42.109375" style="141" customWidth="1"/>
    <col min="3077" max="3077" width="14.33203125" style="141" customWidth="1"/>
    <col min="3078" max="3080" width="13.109375" style="141" customWidth="1"/>
    <col min="3081" max="3083" width="10.6640625" style="141" customWidth="1"/>
    <col min="3084" max="3084" width="20.44140625" style="141" bestFit="1" customWidth="1"/>
    <col min="3085" max="3085" width="23.44140625" style="141" customWidth="1"/>
    <col min="3086" max="3327" width="16.88671875" style="141"/>
    <col min="3328" max="3328" width="6.88671875" style="141" customWidth="1"/>
    <col min="3329" max="3329" width="52" style="141" customWidth="1"/>
    <col min="3330" max="3330" width="42.109375" style="141" customWidth="1"/>
    <col min="3331" max="3331" width="58.6640625" style="141" customWidth="1"/>
    <col min="3332" max="3332" width="42.109375" style="141" customWidth="1"/>
    <col min="3333" max="3333" width="14.33203125" style="141" customWidth="1"/>
    <col min="3334" max="3336" width="13.109375" style="141" customWidth="1"/>
    <col min="3337" max="3339" width="10.6640625" style="141" customWidth="1"/>
    <col min="3340" max="3340" width="20.44140625" style="141" bestFit="1" customWidth="1"/>
    <col min="3341" max="3341" width="23.44140625" style="141" customWidth="1"/>
    <col min="3342" max="3583" width="16.88671875" style="141"/>
    <col min="3584" max="3584" width="6.88671875" style="141" customWidth="1"/>
    <col min="3585" max="3585" width="52" style="141" customWidth="1"/>
    <col min="3586" max="3586" width="42.109375" style="141" customWidth="1"/>
    <col min="3587" max="3587" width="58.6640625" style="141" customWidth="1"/>
    <col min="3588" max="3588" width="42.109375" style="141" customWidth="1"/>
    <col min="3589" max="3589" width="14.33203125" style="141" customWidth="1"/>
    <col min="3590" max="3592" width="13.109375" style="141" customWidth="1"/>
    <col min="3593" max="3595" width="10.6640625" style="141" customWidth="1"/>
    <col min="3596" max="3596" width="20.44140625" style="141" bestFit="1" customWidth="1"/>
    <col min="3597" max="3597" width="23.44140625" style="141" customWidth="1"/>
    <col min="3598" max="3839" width="16.88671875" style="141"/>
    <col min="3840" max="3840" width="6.88671875" style="141" customWidth="1"/>
    <col min="3841" max="3841" width="52" style="141" customWidth="1"/>
    <col min="3842" max="3842" width="42.109375" style="141" customWidth="1"/>
    <col min="3843" max="3843" width="58.6640625" style="141" customWidth="1"/>
    <col min="3844" max="3844" width="42.109375" style="141" customWidth="1"/>
    <col min="3845" max="3845" width="14.33203125" style="141" customWidth="1"/>
    <col min="3846" max="3848" width="13.109375" style="141" customWidth="1"/>
    <col min="3849" max="3851" width="10.6640625" style="141" customWidth="1"/>
    <col min="3852" max="3852" width="20.44140625" style="141" bestFit="1" customWidth="1"/>
    <col min="3853" max="3853" width="23.44140625" style="141" customWidth="1"/>
    <col min="3854" max="4095" width="16.88671875" style="141"/>
    <col min="4096" max="4096" width="6.88671875" style="141" customWidth="1"/>
    <col min="4097" max="4097" width="52" style="141" customWidth="1"/>
    <col min="4098" max="4098" width="42.109375" style="141" customWidth="1"/>
    <col min="4099" max="4099" width="58.6640625" style="141" customWidth="1"/>
    <col min="4100" max="4100" width="42.109375" style="141" customWidth="1"/>
    <col min="4101" max="4101" width="14.33203125" style="141" customWidth="1"/>
    <col min="4102" max="4104" width="13.109375" style="141" customWidth="1"/>
    <col min="4105" max="4107" width="10.6640625" style="141" customWidth="1"/>
    <col min="4108" max="4108" width="20.44140625" style="141" bestFit="1" customWidth="1"/>
    <col min="4109" max="4109" width="23.44140625" style="141" customWidth="1"/>
    <col min="4110" max="4351" width="16.88671875" style="141"/>
    <col min="4352" max="4352" width="6.88671875" style="141" customWidth="1"/>
    <col min="4353" max="4353" width="52" style="141" customWidth="1"/>
    <col min="4354" max="4354" width="42.109375" style="141" customWidth="1"/>
    <col min="4355" max="4355" width="58.6640625" style="141" customWidth="1"/>
    <col min="4356" max="4356" width="42.109375" style="141" customWidth="1"/>
    <col min="4357" max="4357" width="14.33203125" style="141" customWidth="1"/>
    <col min="4358" max="4360" width="13.109375" style="141" customWidth="1"/>
    <col min="4361" max="4363" width="10.6640625" style="141" customWidth="1"/>
    <col min="4364" max="4364" width="20.44140625" style="141" bestFit="1" customWidth="1"/>
    <col min="4365" max="4365" width="23.44140625" style="141" customWidth="1"/>
    <col min="4366" max="4607" width="16.88671875" style="141"/>
    <col min="4608" max="4608" width="6.88671875" style="141" customWidth="1"/>
    <col min="4609" max="4609" width="52" style="141" customWidth="1"/>
    <col min="4610" max="4610" width="42.109375" style="141" customWidth="1"/>
    <col min="4611" max="4611" width="58.6640625" style="141" customWidth="1"/>
    <col min="4612" max="4612" width="42.109375" style="141" customWidth="1"/>
    <col min="4613" max="4613" width="14.33203125" style="141" customWidth="1"/>
    <col min="4614" max="4616" width="13.109375" style="141" customWidth="1"/>
    <col min="4617" max="4619" width="10.6640625" style="141" customWidth="1"/>
    <col min="4620" max="4620" width="20.44140625" style="141" bestFit="1" customWidth="1"/>
    <col min="4621" max="4621" width="23.44140625" style="141" customWidth="1"/>
    <col min="4622" max="4863" width="16.88671875" style="141"/>
    <col min="4864" max="4864" width="6.88671875" style="141" customWidth="1"/>
    <col min="4865" max="4865" width="52" style="141" customWidth="1"/>
    <col min="4866" max="4866" width="42.109375" style="141" customWidth="1"/>
    <col min="4867" max="4867" width="58.6640625" style="141" customWidth="1"/>
    <col min="4868" max="4868" width="42.109375" style="141" customWidth="1"/>
    <col min="4869" max="4869" width="14.33203125" style="141" customWidth="1"/>
    <col min="4870" max="4872" width="13.109375" style="141" customWidth="1"/>
    <col min="4873" max="4875" width="10.6640625" style="141" customWidth="1"/>
    <col min="4876" max="4876" width="20.44140625" style="141" bestFit="1" customWidth="1"/>
    <col min="4877" max="4877" width="23.44140625" style="141" customWidth="1"/>
    <col min="4878" max="5119" width="16.88671875" style="141"/>
    <col min="5120" max="5120" width="6.88671875" style="141" customWidth="1"/>
    <col min="5121" max="5121" width="52" style="141" customWidth="1"/>
    <col min="5122" max="5122" width="42.109375" style="141" customWidth="1"/>
    <col min="5123" max="5123" width="58.6640625" style="141" customWidth="1"/>
    <col min="5124" max="5124" width="42.109375" style="141" customWidth="1"/>
    <col min="5125" max="5125" width="14.33203125" style="141" customWidth="1"/>
    <col min="5126" max="5128" width="13.109375" style="141" customWidth="1"/>
    <col min="5129" max="5131" width="10.6640625" style="141" customWidth="1"/>
    <col min="5132" max="5132" width="20.44140625" style="141" bestFit="1" customWidth="1"/>
    <col min="5133" max="5133" width="23.44140625" style="141" customWidth="1"/>
    <col min="5134" max="5375" width="16.88671875" style="141"/>
    <col min="5376" max="5376" width="6.88671875" style="141" customWidth="1"/>
    <col min="5377" max="5377" width="52" style="141" customWidth="1"/>
    <col min="5378" max="5378" width="42.109375" style="141" customWidth="1"/>
    <col min="5379" max="5379" width="58.6640625" style="141" customWidth="1"/>
    <col min="5380" max="5380" width="42.109375" style="141" customWidth="1"/>
    <col min="5381" max="5381" width="14.33203125" style="141" customWidth="1"/>
    <col min="5382" max="5384" width="13.109375" style="141" customWidth="1"/>
    <col min="5385" max="5387" width="10.6640625" style="141" customWidth="1"/>
    <col min="5388" max="5388" width="20.44140625" style="141" bestFit="1" customWidth="1"/>
    <col min="5389" max="5389" width="23.44140625" style="141" customWidth="1"/>
    <col min="5390" max="5631" width="16.88671875" style="141"/>
    <col min="5632" max="5632" width="6.88671875" style="141" customWidth="1"/>
    <col min="5633" max="5633" width="52" style="141" customWidth="1"/>
    <col min="5634" max="5634" width="42.109375" style="141" customWidth="1"/>
    <col min="5635" max="5635" width="58.6640625" style="141" customWidth="1"/>
    <col min="5636" max="5636" width="42.109375" style="141" customWidth="1"/>
    <col min="5637" max="5637" width="14.33203125" style="141" customWidth="1"/>
    <col min="5638" max="5640" width="13.109375" style="141" customWidth="1"/>
    <col min="5641" max="5643" width="10.6640625" style="141" customWidth="1"/>
    <col min="5644" max="5644" width="20.44140625" style="141" bestFit="1" customWidth="1"/>
    <col min="5645" max="5645" width="23.44140625" style="141" customWidth="1"/>
    <col min="5646" max="5887" width="16.88671875" style="141"/>
    <col min="5888" max="5888" width="6.88671875" style="141" customWidth="1"/>
    <col min="5889" max="5889" width="52" style="141" customWidth="1"/>
    <col min="5890" max="5890" width="42.109375" style="141" customWidth="1"/>
    <col min="5891" max="5891" width="58.6640625" style="141" customWidth="1"/>
    <col min="5892" max="5892" width="42.109375" style="141" customWidth="1"/>
    <col min="5893" max="5893" width="14.33203125" style="141" customWidth="1"/>
    <col min="5894" max="5896" width="13.109375" style="141" customWidth="1"/>
    <col min="5897" max="5899" width="10.6640625" style="141" customWidth="1"/>
    <col min="5900" max="5900" width="20.44140625" style="141" bestFit="1" customWidth="1"/>
    <col min="5901" max="5901" width="23.44140625" style="141" customWidth="1"/>
    <col min="5902" max="6143" width="16.88671875" style="141"/>
    <col min="6144" max="6144" width="6.88671875" style="141" customWidth="1"/>
    <col min="6145" max="6145" width="52" style="141" customWidth="1"/>
    <col min="6146" max="6146" width="42.109375" style="141" customWidth="1"/>
    <col min="6147" max="6147" width="58.6640625" style="141" customWidth="1"/>
    <col min="6148" max="6148" width="42.109375" style="141" customWidth="1"/>
    <col min="6149" max="6149" width="14.33203125" style="141" customWidth="1"/>
    <col min="6150" max="6152" width="13.109375" style="141" customWidth="1"/>
    <col min="6153" max="6155" width="10.6640625" style="141" customWidth="1"/>
    <col min="6156" max="6156" width="20.44140625" style="141" bestFit="1" customWidth="1"/>
    <col min="6157" max="6157" width="23.44140625" style="141" customWidth="1"/>
    <col min="6158" max="6399" width="16.88671875" style="141"/>
    <col min="6400" max="6400" width="6.88671875" style="141" customWidth="1"/>
    <col min="6401" max="6401" width="52" style="141" customWidth="1"/>
    <col min="6402" max="6402" width="42.109375" style="141" customWidth="1"/>
    <col min="6403" max="6403" width="58.6640625" style="141" customWidth="1"/>
    <col min="6404" max="6404" width="42.109375" style="141" customWidth="1"/>
    <col min="6405" max="6405" width="14.33203125" style="141" customWidth="1"/>
    <col min="6406" max="6408" width="13.109375" style="141" customWidth="1"/>
    <col min="6409" max="6411" width="10.6640625" style="141" customWidth="1"/>
    <col min="6412" max="6412" width="20.44140625" style="141" bestFit="1" customWidth="1"/>
    <col min="6413" max="6413" width="23.44140625" style="141" customWidth="1"/>
    <col min="6414" max="6655" width="16.88671875" style="141"/>
    <col min="6656" max="6656" width="6.88671875" style="141" customWidth="1"/>
    <col min="6657" max="6657" width="52" style="141" customWidth="1"/>
    <col min="6658" max="6658" width="42.109375" style="141" customWidth="1"/>
    <col min="6659" max="6659" width="58.6640625" style="141" customWidth="1"/>
    <col min="6660" max="6660" width="42.109375" style="141" customWidth="1"/>
    <col min="6661" max="6661" width="14.33203125" style="141" customWidth="1"/>
    <col min="6662" max="6664" width="13.109375" style="141" customWidth="1"/>
    <col min="6665" max="6667" width="10.6640625" style="141" customWidth="1"/>
    <col min="6668" max="6668" width="20.44140625" style="141" bestFit="1" customWidth="1"/>
    <col min="6669" max="6669" width="23.44140625" style="141" customWidth="1"/>
    <col min="6670" max="6911" width="16.88671875" style="141"/>
    <col min="6912" max="6912" width="6.88671875" style="141" customWidth="1"/>
    <col min="6913" max="6913" width="52" style="141" customWidth="1"/>
    <col min="6914" max="6914" width="42.109375" style="141" customWidth="1"/>
    <col min="6915" max="6915" width="58.6640625" style="141" customWidth="1"/>
    <col min="6916" max="6916" width="42.109375" style="141" customWidth="1"/>
    <col min="6917" max="6917" width="14.33203125" style="141" customWidth="1"/>
    <col min="6918" max="6920" width="13.109375" style="141" customWidth="1"/>
    <col min="6921" max="6923" width="10.6640625" style="141" customWidth="1"/>
    <col min="6924" max="6924" width="20.44140625" style="141" bestFit="1" customWidth="1"/>
    <col min="6925" max="6925" width="23.44140625" style="141" customWidth="1"/>
    <col min="6926" max="7167" width="16.88671875" style="141"/>
    <col min="7168" max="7168" width="6.88671875" style="141" customWidth="1"/>
    <col min="7169" max="7169" width="52" style="141" customWidth="1"/>
    <col min="7170" max="7170" width="42.109375" style="141" customWidth="1"/>
    <col min="7171" max="7171" width="58.6640625" style="141" customWidth="1"/>
    <col min="7172" max="7172" width="42.109375" style="141" customWidth="1"/>
    <col min="7173" max="7173" width="14.33203125" style="141" customWidth="1"/>
    <col min="7174" max="7176" width="13.109375" style="141" customWidth="1"/>
    <col min="7177" max="7179" width="10.6640625" style="141" customWidth="1"/>
    <col min="7180" max="7180" width="20.44140625" style="141" bestFit="1" customWidth="1"/>
    <col min="7181" max="7181" width="23.44140625" style="141" customWidth="1"/>
    <col min="7182" max="7423" width="16.88671875" style="141"/>
    <col min="7424" max="7424" width="6.88671875" style="141" customWidth="1"/>
    <col min="7425" max="7425" width="52" style="141" customWidth="1"/>
    <col min="7426" max="7426" width="42.109375" style="141" customWidth="1"/>
    <col min="7427" max="7427" width="58.6640625" style="141" customWidth="1"/>
    <col min="7428" max="7428" width="42.109375" style="141" customWidth="1"/>
    <col min="7429" max="7429" width="14.33203125" style="141" customWidth="1"/>
    <col min="7430" max="7432" width="13.109375" style="141" customWidth="1"/>
    <col min="7433" max="7435" width="10.6640625" style="141" customWidth="1"/>
    <col min="7436" max="7436" width="20.44140625" style="141" bestFit="1" customWidth="1"/>
    <col min="7437" max="7437" width="23.44140625" style="141" customWidth="1"/>
    <col min="7438" max="7679" width="16.88671875" style="141"/>
    <col min="7680" max="7680" width="6.88671875" style="141" customWidth="1"/>
    <col min="7681" max="7681" width="52" style="141" customWidth="1"/>
    <col min="7682" max="7682" width="42.109375" style="141" customWidth="1"/>
    <col min="7683" max="7683" width="58.6640625" style="141" customWidth="1"/>
    <col min="7684" max="7684" width="42.109375" style="141" customWidth="1"/>
    <col min="7685" max="7685" width="14.33203125" style="141" customWidth="1"/>
    <col min="7686" max="7688" width="13.109375" style="141" customWidth="1"/>
    <col min="7689" max="7691" width="10.6640625" style="141" customWidth="1"/>
    <col min="7692" max="7692" width="20.44140625" style="141" bestFit="1" customWidth="1"/>
    <col min="7693" max="7693" width="23.44140625" style="141" customWidth="1"/>
    <col min="7694" max="7935" width="16.88671875" style="141"/>
    <col min="7936" max="7936" width="6.88671875" style="141" customWidth="1"/>
    <col min="7937" max="7937" width="52" style="141" customWidth="1"/>
    <col min="7938" max="7938" width="42.109375" style="141" customWidth="1"/>
    <col min="7939" max="7939" width="58.6640625" style="141" customWidth="1"/>
    <col min="7940" max="7940" width="42.109375" style="141" customWidth="1"/>
    <col min="7941" max="7941" width="14.33203125" style="141" customWidth="1"/>
    <col min="7942" max="7944" width="13.109375" style="141" customWidth="1"/>
    <col min="7945" max="7947" width="10.6640625" style="141" customWidth="1"/>
    <col min="7948" max="7948" width="20.44140625" style="141" bestFit="1" customWidth="1"/>
    <col min="7949" max="7949" width="23.44140625" style="141" customWidth="1"/>
    <col min="7950" max="8191" width="16.88671875" style="141"/>
    <col min="8192" max="8192" width="6.88671875" style="141" customWidth="1"/>
    <col min="8193" max="8193" width="52" style="141" customWidth="1"/>
    <col min="8194" max="8194" width="42.109375" style="141" customWidth="1"/>
    <col min="8195" max="8195" width="58.6640625" style="141" customWidth="1"/>
    <col min="8196" max="8196" width="42.109375" style="141" customWidth="1"/>
    <col min="8197" max="8197" width="14.33203125" style="141" customWidth="1"/>
    <col min="8198" max="8200" width="13.109375" style="141" customWidth="1"/>
    <col min="8201" max="8203" width="10.6640625" style="141" customWidth="1"/>
    <col min="8204" max="8204" width="20.44140625" style="141" bestFit="1" customWidth="1"/>
    <col min="8205" max="8205" width="23.44140625" style="141" customWidth="1"/>
    <col min="8206" max="8447" width="16.88671875" style="141"/>
    <col min="8448" max="8448" width="6.88671875" style="141" customWidth="1"/>
    <col min="8449" max="8449" width="52" style="141" customWidth="1"/>
    <col min="8450" max="8450" width="42.109375" style="141" customWidth="1"/>
    <col min="8451" max="8451" width="58.6640625" style="141" customWidth="1"/>
    <col min="8452" max="8452" width="42.109375" style="141" customWidth="1"/>
    <col min="8453" max="8453" width="14.33203125" style="141" customWidth="1"/>
    <col min="8454" max="8456" width="13.109375" style="141" customWidth="1"/>
    <col min="8457" max="8459" width="10.6640625" style="141" customWidth="1"/>
    <col min="8460" max="8460" width="20.44140625" style="141" bestFit="1" customWidth="1"/>
    <col min="8461" max="8461" width="23.44140625" style="141" customWidth="1"/>
    <col min="8462" max="8703" width="16.88671875" style="141"/>
    <col min="8704" max="8704" width="6.88671875" style="141" customWidth="1"/>
    <col min="8705" max="8705" width="52" style="141" customWidth="1"/>
    <col min="8706" max="8706" width="42.109375" style="141" customWidth="1"/>
    <col min="8707" max="8707" width="58.6640625" style="141" customWidth="1"/>
    <col min="8708" max="8708" width="42.109375" style="141" customWidth="1"/>
    <col min="8709" max="8709" width="14.33203125" style="141" customWidth="1"/>
    <col min="8710" max="8712" width="13.109375" style="141" customWidth="1"/>
    <col min="8713" max="8715" width="10.6640625" style="141" customWidth="1"/>
    <col min="8716" max="8716" width="20.44140625" style="141" bestFit="1" customWidth="1"/>
    <col min="8717" max="8717" width="23.44140625" style="141" customWidth="1"/>
    <col min="8718" max="8959" width="16.88671875" style="141"/>
    <col min="8960" max="8960" width="6.88671875" style="141" customWidth="1"/>
    <col min="8961" max="8961" width="52" style="141" customWidth="1"/>
    <col min="8962" max="8962" width="42.109375" style="141" customWidth="1"/>
    <col min="8963" max="8963" width="58.6640625" style="141" customWidth="1"/>
    <col min="8964" max="8964" width="42.109375" style="141" customWidth="1"/>
    <col min="8965" max="8965" width="14.33203125" style="141" customWidth="1"/>
    <col min="8966" max="8968" width="13.109375" style="141" customWidth="1"/>
    <col min="8969" max="8971" width="10.6640625" style="141" customWidth="1"/>
    <col min="8972" max="8972" width="20.44140625" style="141" bestFit="1" customWidth="1"/>
    <col min="8973" max="8973" width="23.44140625" style="141" customWidth="1"/>
    <col min="8974" max="9215" width="16.88671875" style="141"/>
    <col min="9216" max="9216" width="6.88671875" style="141" customWidth="1"/>
    <col min="9217" max="9217" width="52" style="141" customWidth="1"/>
    <col min="9218" max="9218" width="42.109375" style="141" customWidth="1"/>
    <col min="9219" max="9219" width="58.6640625" style="141" customWidth="1"/>
    <col min="9220" max="9220" width="42.109375" style="141" customWidth="1"/>
    <col min="9221" max="9221" width="14.33203125" style="141" customWidth="1"/>
    <col min="9222" max="9224" width="13.109375" style="141" customWidth="1"/>
    <col min="9225" max="9227" width="10.6640625" style="141" customWidth="1"/>
    <col min="9228" max="9228" width="20.44140625" style="141" bestFit="1" customWidth="1"/>
    <col min="9229" max="9229" width="23.44140625" style="141" customWidth="1"/>
    <col min="9230" max="9471" width="16.88671875" style="141"/>
    <col min="9472" max="9472" width="6.88671875" style="141" customWidth="1"/>
    <col min="9473" max="9473" width="52" style="141" customWidth="1"/>
    <col min="9474" max="9474" width="42.109375" style="141" customWidth="1"/>
    <col min="9475" max="9475" width="58.6640625" style="141" customWidth="1"/>
    <col min="9476" max="9476" width="42.109375" style="141" customWidth="1"/>
    <col min="9477" max="9477" width="14.33203125" style="141" customWidth="1"/>
    <col min="9478" max="9480" width="13.109375" style="141" customWidth="1"/>
    <col min="9481" max="9483" width="10.6640625" style="141" customWidth="1"/>
    <col min="9484" max="9484" width="20.44140625" style="141" bestFit="1" customWidth="1"/>
    <col min="9485" max="9485" width="23.44140625" style="141" customWidth="1"/>
    <col min="9486" max="9727" width="16.88671875" style="141"/>
    <col min="9728" max="9728" width="6.88671875" style="141" customWidth="1"/>
    <col min="9729" max="9729" width="52" style="141" customWidth="1"/>
    <col min="9730" max="9730" width="42.109375" style="141" customWidth="1"/>
    <col min="9731" max="9731" width="58.6640625" style="141" customWidth="1"/>
    <col min="9732" max="9732" width="42.109375" style="141" customWidth="1"/>
    <col min="9733" max="9733" width="14.33203125" style="141" customWidth="1"/>
    <col min="9734" max="9736" width="13.109375" style="141" customWidth="1"/>
    <col min="9737" max="9739" width="10.6640625" style="141" customWidth="1"/>
    <col min="9740" max="9740" width="20.44140625" style="141" bestFit="1" customWidth="1"/>
    <col min="9741" max="9741" width="23.44140625" style="141" customWidth="1"/>
    <col min="9742" max="9983" width="16.88671875" style="141"/>
    <col min="9984" max="9984" width="6.88671875" style="141" customWidth="1"/>
    <col min="9985" max="9985" width="52" style="141" customWidth="1"/>
    <col min="9986" max="9986" width="42.109375" style="141" customWidth="1"/>
    <col min="9987" max="9987" width="58.6640625" style="141" customWidth="1"/>
    <col min="9988" max="9988" width="42.109375" style="141" customWidth="1"/>
    <col min="9989" max="9989" width="14.33203125" style="141" customWidth="1"/>
    <col min="9990" max="9992" width="13.109375" style="141" customWidth="1"/>
    <col min="9993" max="9995" width="10.6640625" style="141" customWidth="1"/>
    <col min="9996" max="9996" width="20.44140625" style="141" bestFit="1" customWidth="1"/>
    <col min="9997" max="9997" width="23.44140625" style="141" customWidth="1"/>
    <col min="9998" max="10239" width="16.88671875" style="141"/>
    <col min="10240" max="10240" width="6.88671875" style="141" customWidth="1"/>
    <col min="10241" max="10241" width="52" style="141" customWidth="1"/>
    <col min="10242" max="10242" width="42.109375" style="141" customWidth="1"/>
    <col min="10243" max="10243" width="58.6640625" style="141" customWidth="1"/>
    <col min="10244" max="10244" width="42.109375" style="141" customWidth="1"/>
    <col min="10245" max="10245" width="14.33203125" style="141" customWidth="1"/>
    <col min="10246" max="10248" width="13.109375" style="141" customWidth="1"/>
    <col min="10249" max="10251" width="10.6640625" style="141" customWidth="1"/>
    <col min="10252" max="10252" width="20.44140625" style="141" bestFit="1" customWidth="1"/>
    <col min="10253" max="10253" width="23.44140625" style="141" customWidth="1"/>
    <col min="10254" max="10495" width="16.88671875" style="141"/>
    <col min="10496" max="10496" width="6.88671875" style="141" customWidth="1"/>
    <col min="10497" max="10497" width="52" style="141" customWidth="1"/>
    <col min="10498" max="10498" width="42.109375" style="141" customWidth="1"/>
    <col min="10499" max="10499" width="58.6640625" style="141" customWidth="1"/>
    <col min="10500" max="10500" width="42.109375" style="141" customWidth="1"/>
    <col min="10501" max="10501" width="14.33203125" style="141" customWidth="1"/>
    <col min="10502" max="10504" width="13.109375" style="141" customWidth="1"/>
    <col min="10505" max="10507" width="10.6640625" style="141" customWidth="1"/>
    <col min="10508" max="10508" width="20.44140625" style="141" bestFit="1" customWidth="1"/>
    <col min="10509" max="10509" width="23.44140625" style="141" customWidth="1"/>
    <col min="10510" max="10751" width="16.88671875" style="141"/>
    <col min="10752" max="10752" width="6.88671875" style="141" customWidth="1"/>
    <col min="10753" max="10753" width="52" style="141" customWidth="1"/>
    <col min="10754" max="10754" width="42.109375" style="141" customWidth="1"/>
    <col min="10755" max="10755" width="58.6640625" style="141" customWidth="1"/>
    <col min="10756" max="10756" width="42.109375" style="141" customWidth="1"/>
    <col min="10757" max="10757" width="14.33203125" style="141" customWidth="1"/>
    <col min="10758" max="10760" width="13.109375" style="141" customWidth="1"/>
    <col min="10761" max="10763" width="10.6640625" style="141" customWidth="1"/>
    <col min="10764" max="10764" width="20.44140625" style="141" bestFit="1" customWidth="1"/>
    <col min="10765" max="10765" width="23.44140625" style="141" customWidth="1"/>
    <col min="10766" max="11007" width="16.88671875" style="141"/>
    <col min="11008" max="11008" width="6.88671875" style="141" customWidth="1"/>
    <col min="11009" max="11009" width="52" style="141" customWidth="1"/>
    <col min="11010" max="11010" width="42.109375" style="141" customWidth="1"/>
    <col min="11011" max="11011" width="58.6640625" style="141" customWidth="1"/>
    <col min="11012" max="11012" width="42.109375" style="141" customWidth="1"/>
    <col min="11013" max="11013" width="14.33203125" style="141" customWidth="1"/>
    <col min="11014" max="11016" width="13.109375" style="141" customWidth="1"/>
    <col min="11017" max="11019" width="10.6640625" style="141" customWidth="1"/>
    <col min="11020" max="11020" width="20.44140625" style="141" bestFit="1" customWidth="1"/>
    <col min="11021" max="11021" width="23.44140625" style="141" customWidth="1"/>
    <col min="11022" max="11263" width="16.88671875" style="141"/>
    <col min="11264" max="11264" width="6.88671875" style="141" customWidth="1"/>
    <col min="11265" max="11265" width="52" style="141" customWidth="1"/>
    <col min="11266" max="11266" width="42.109375" style="141" customWidth="1"/>
    <col min="11267" max="11267" width="58.6640625" style="141" customWidth="1"/>
    <col min="11268" max="11268" width="42.109375" style="141" customWidth="1"/>
    <col min="11269" max="11269" width="14.33203125" style="141" customWidth="1"/>
    <col min="11270" max="11272" width="13.109375" style="141" customWidth="1"/>
    <col min="11273" max="11275" width="10.6640625" style="141" customWidth="1"/>
    <col min="11276" max="11276" width="20.44140625" style="141" bestFit="1" customWidth="1"/>
    <col min="11277" max="11277" width="23.44140625" style="141" customWidth="1"/>
    <col min="11278" max="11519" width="16.88671875" style="141"/>
    <col min="11520" max="11520" width="6.88671875" style="141" customWidth="1"/>
    <col min="11521" max="11521" width="52" style="141" customWidth="1"/>
    <col min="11522" max="11522" width="42.109375" style="141" customWidth="1"/>
    <col min="11523" max="11523" width="58.6640625" style="141" customWidth="1"/>
    <col min="11524" max="11524" width="42.109375" style="141" customWidth="1"/>
    <col min="11525" max="11525" width="14.33203125" style="141" customWidth="1"/>
    <col min="11526" max="11528" width="13.109375" style="141" customWidth="1"/>
    <col min="11529" max="11531" width="10.6640625" style="141" customWidth="1"/>
    <col min="11532" max="11532" width="20.44140625" style="141" bestFit="1" customWidth="1"/>
    <col min="11533" max="11533" width="23.44140625" style="141" customWidth="1"/>
    <col min="11534" max="11775" width="16.88671875" style="141"/>
    <col min="11776" max="11776" width="6.88671875" style="141" customWidth="1"/>
    <col min="11777" max="11777" width="52" style="141" customWidth="1"/>
    <col min="11778" max="11778" width="42.109375" style="141" customWidth="1"/>
    <col min="11779" max="11779" width="58.6640625" style="141" customWidth="1"/>
    <col min="11780" max="11780" width="42.109375" style="141" customWidth="1"/>
    <col min="11781" max="11781" width="14.33203125" style="141" customWidth="1"/>
    <col min="11782" max="11784" width="13.109375" style="141" customWidth="1"/>
    <col min="11785" max="11787" width="10.6640625" style="141" customWidth="1"/>
    <col min="11788" max="11788" width="20.44140625" style="141" bestFit="1" customWidth="1"/>
    <col min="11789" max="11789" width="23.44140625" style="141" customWidth="1"/>
    <col min="11790" max="12031" width="16.88671875" style="141"/>
    <col min="12032" max="12032" width="6.88671875" style="141" customWidth="1"/>
    <col min="12033" max="12033" width="52" style="141" customWidth="1"/>
    <col min="12034" max="12034" width="42.109375" style="141" customWidth="1"/>
    <col min="12035" max="12035" width="58.6640625" style="141" customWidth="1"/>
    <col min="12036" max="12036" width="42.109375" style="141" customWidth="1"/>
    <col min="12037" max="12037" width="14.33203125" style="141" customWidth="1"/>
    <col min="12038" max="12040" width="13.109375" style="141" customWidth="1"/>
    <col min="12041" max="12043" width="10.6640625" style="141" customWidth="1"/>
    <col min="12044" max="12044" width="20.44140625" style="141" bestFit="1" customWidth="1"/>
    <col min="12045" max="12045" width="23.44140625" style="141" customWidth="1"/>
    <col min="12046" max="12287" width="16.88671875" style="141"/>
    <col min="12288" max="12288" width="6.88671875" style="141" customWidth="1"/>
    <col min="12289" max="12289" width="52" style="141" customWidth="1"/>
    <col min="12290" max="12290" width="42.109375" style="141" customWidth="1"/>
    <col min="12291" max="12291" width="58.6640625" style="141" customWidth="1"/>
    <col min="12292" max="12292" width="42.109375" style="141" customWidth="1"/>
    <col min="12293" max="12293" width="14.33203125" style="141" customWidth="1"/>
    <col min="12294" max="12296" width="13.109375" style="141" customWidth="1"/>
    <col min="12297" max="12299" width="10.6640625" style="141" customWidth="1"/>
    <col min="12300" max="12300" width="20.44140625" style="141" bestFit="1" customWidth="1"/>
    <col min="12301" max="12301" width="23.44140625" style="141" customWidth="1"/>
    <col min="12302" max="12543" width="16.88671875" style="141"/>
    <col min="12544" max="12544" width="6.88671875" style="141" customWidth="1"/>
    <col min="12545" max="12545" width="52" style="141" customWidth="1"/>
    <col min="12546" max="12546" width="42.109375" style="141" customWidth="1"/>
    <col min="12547" max="12547" width="58.6640625" style="141" customWidth="1"/>
    <col min="12548" max="12548" width="42.109375" style="141" customWidth="1"/>
    <col min="12549" max="12549" width="14.33203125" style="141" customWidth="1"/>
    <col min="12550" max="12552" width="13.109375" style="141" customWidth="1"/>
    <col min="12553" max="12555" width="10.6640625" style="141" customWidth="1"/>
    <col min="12556" max="12556" width="20.44140625" style="141" bestFit="1" customWidth="1"/>
    <col min="12557" max="12557" width="23.44140625" style="141" customWidth="1"/>
    <col min="12558" max="12799" width="16.88671875" style="141"/>
    <col min="12800" max="12800" width="6.88671875" style="141" customWidth="1"/>
    <col min="12801" max="12801" width="52" style="141" customWidth="1"/>
    <col min="12802" max="12802" width="42.109375" style="141" customWidth="1"/>
    <col min="12803" max="12803" width="58.6640625" style="141" customWidth="1"/>
    <col min="12804" max="12804" width="42.109375" style="141" customWidth="1"/>
    <col min="12805" max="12805" width="14.33203125" style="141" customWidth="1"/>
    <col min="12806" max="12808" width="13.109375" style="141" customWidth="1"/>
    <col min="12809" max="12811" width="10.6640625" style="141" customWidth="1"/>
    <col min="12812" max="12812" width="20.44140625" style="141" bestFit="1" customWidth="1"/>
    <col min="12813" max="12813" width="23.44140625" style="141" customWidth="1"/>
    <col min="12814" max="13055" width="16.88671875" style="141"/>
    <col min="13056" max="13056" width="6.88671875" style="141" customWidth="1"/>
    <col min="13057" max="13057" width="52" style="141" customWidth="1"/>
    <col min="13058" max="13058" width="42.109375" style="141" customWidth="1"/>
    <col min="13059" max="13059" width="58.6640625" style="141" customWidth="1"/>
    <col min="13060" max="13060" width="42.109375" style="141" customWidth="1"/>
    <col min="13061" max="13061" width="14.33203125" style="141" customWidth="1"/>
    <col min="13062" max="13064" width="13.109375" style="141" customWidth="1"/>
    <col min="13065" max="13067" width="10.6640625" style="141" customWidth="1"/>
    <col min="13068" max="13068" width="20.44140625" style="141" bestFit="1" customWidth="1"/>
    <col min="13069" max="13069" width="23.44140625" style="141" customWidth="1"/>
    <col min="13070" max="13311" width="16.88671875" style="141"/>
    <col min="13312" max="13312" width="6.88671875" style="141" customWidth="1"/>
    <col min="13313" max="13313" width="52" style="141" customWidth="1"/>
    <col min="13314" max="13314" width="42.109375" style="141" customWidth="1"/>
    <col min="13315" max="13315" width="58.6640625" style="141" customWidth="1"/>
    <col min="13316" max="13316" width="42.109375" style="141" customWidth="1"/>
    <col min="13317" max="13317" width="14.33203125" style="141" customWidth="1"/>
    <col min="13318" max="13320" width="13.109375" style="141" customWidth="1"/>
    <col min="13321" max="13323" width="10.6640625" style="141" customWidth="1"/>
    <col min="13324" max="13324" width="20.44140625" style="141" bestFit="1" customWidth="1"/>
    <col min="13325" max="13325" width="23.44140625" style="141" customWidth="1"/>
    <col min="13326" max="13567" width="16.88671875" style="141"/>
    <col min="13568" max="13568" width="6.88671875" style="141" customWidth="1"/>
    <col min="13569" max="13569" width="52" style="141" customWidth="1"/>
    <col min="13570" max="13570" width="42.109375" style="141" customWidth="1"/>
    <col min="13571" max="13571" width="58.6640625" style="141" customWidth="1"/>
    <col min="13572" max="13572" width="42.109375" style="141" customWidth="1"/>
    <col min="13573" max="13573" width="14.33203125" style="141" customWidth="1"/>
    <col min="13574" max="13576" width="13.109375" style="141" customWidth="1"/>
    <col min="13577" max="13579" width="10.6640625" style="141" customWidth="1"/>
    <col min="13580" max="13580" width="20.44140625" style="141" bestFit="1" customWidth="1"/>
    <col min="13581" max="13581" width="23.44140625" style="141" customWidth="1"/>
    <col min="13582" max="13823" width="16.88671875" style="141"/>
    <col min="13824" max="13824" width="6.88671875" style="141" customWidth="1"/>
    <col min="13825" max="13825" width="52" style="141" customWidth="1"/>
    <col min="13826" max="13826" width="42.109375" style="141" customWidth="1"/>
    <col min="13827" max="13827" width="58.6640625" style="141" customWidth="1"/>
    <col min="13828" max="13828" width="42.109375" style="141" customWidth="1"/>
    <col min="13829" max="13829" width="14.33203125" style="141" customWidth="1"/>
    <col min="13830" max="13832" width="13.109375" style="141" customWidth="1"/>
    <col min="13833" max="13835" width="10.6640625" style="141" customWidth="1"/>
    <col min="13836" max="13836" width="20.44140625" style="141" bestFit="1" customWidth="1"/>
    <col min="13837" max="13837" width="23.44140625" style="141" customWidth="1"/>
    <col min="13838" max="14079" width="16.88671875" style="141"/>
    <col min="14080" max="14080" width="6.88671875" style="141" customWidth="1"/>
    <col min="14081" max="14081" width="52" style="141" customWidth="1"/>
    <col min="14082" max="14082" width="42.109375" style="141" customWidth="1"/>
    <col min="14083" max="14083" width="58.6640625" style="141" customWidth="1"/>
    <col min="14084" max="14084" width="42.109375" style="141" customWidth="1"/>
    <col min="14085" max="14085" width="14.33203125" style="141" customWidth="1"/>
    <col min="14086" max="14088" width="13.109375" style="141" customWidth="1"/>
    <col min="14089" max="14091" width="10.6640625" style="141" customWidth="1"/>
    <col min="14092" max="14092" width="20.44140625" style="141" bestFit="1" customWidth="1"/>
    <col min="14093" max="14093" width="23.44140625" style="141" customWidth="1"/>
    <col min="14094" max="14335" width="16.88671875" style="141"/>
    <col min="14336" max="14336" width="6.88671875" style="141" customWidth="1"/>
    <col min="14337" max="14337" width="52" style="141" customWidth="1"/>
    <col min="14338" max="14338" width="42.109375" style="141" customWidth="1"/>
    <col min="14339" max="14339" width="58.6640625" style="141" customWidth="1"/>
    <col min="14340" max="14340" width="42.109375" style="141" customWidth="1"/>
    <col min="14341" max="14341" width="14.33203125" style="141" customWidth="1"/>
    <col min="14342" max="14344" width="13.109375" style="141" customWidth="1"/>
    <col min="14345" max="14347" width="10.6640625" style="141" customWidth="1"/>
    <col min="14348" max="14348" width="20.44140625" style="141" bestFit="1" customWidth="1"/>
    <col min="14349" max="14349" width="23.44140625" style="141" customWidth="1"/>
    <col min="14350" max="14591" width="16.88671875" style="141"/>
    <col min="14592" max="14592" width="6.88671875" style="141" customWidth="1"/>
    <col min="14593" max="14593" width="52" style="141" customWidth="1"/>
    <col min="14594" max="14594" width="42.109375" style="141" customWidth="1"/>
    <col min="14595" max="14595" width="58.6640625" style="141" customWidth="1"/>
    <col min="14596" max="14596" width="42.109375" style="141" customWidth="1"/>
    <col min="14597" max="14597" width="14.33203125" style="141" customWidth="1"/>
    <col min="14598" max="14600" width="13.109375" style="141" customWidth="1"/>
    <col min="14601" max="14603" width="10.6640625" style="141" customWidth="1"/>
    <col min="14604" max="14604" width="20.44140625" style="141" bestFit="1" customWidth="1"/>
    <col min="14605" max="14605" width="23.44140625" style="141" customWidth="1"/>
    <col min="14606" max="14847" width="16.88671875" style="141"/>
    <col min="14848" max="14848" width="6.88671875" style="141" customWidth="1"/>
    <col min="14849" max="14849" width="52" style="141" customWidth="1"/>
    <col min="14850" max="14850" width="42.109375" style="141" customWidth="1"/>
    <col min="14851" max="14851" width="58.6640625" style="141" customWidth="1"/>
    <col min="14852" max="14852" width="42.109375" style="141" customWidth="1"/>
    <col min="14853" max="14853" width="14.33203125" style="141" customWidth="1"/>
    <col min="14854" max="14856" width="13.109375" style="141" customWidth="1"/>
    <col min="14857" max="14859" width="10.6640625" style="141" customWidth="1"/>
    <col min="14860" max="14860" width="20.44140625" style="141" bestFit="1" customWidth="1"/>
    <col min="14861" max="14861" width="23.44140625" style="141" customWidth="1"/>
    <col min="14862" max="15103" width="16.88671875" style="141"/>
    <col min="15104" max="15104" width="6.88671875" style="141" customWidth="1"/>
    <col min="15105" max="15105" width="52" style="141" customWidth="1"/>
    <col min="15106" max="15106" width="42.109375" style="141" customWidth="1"/>
    <col min="15107" max="15107" width="58.6640625" style="141" customWidth="1"/>
    <col min="15108" max="15108" width="42.109375" style="141" customWidth="1"/>
    <col min="15109" max="15109" width="14.33203125" style="141" customWidth="1"/>
    <col min="15110" max="15112" width="13.109375" style="141" customWidth="1"/>
    <col min="15113" max="15115" width="10.6640625" style="141" customWidth="1"/>
    <col min="15116" max="15116" width="20.44140625" style="141" bestFit="1" customWidth="1"/>
    <col min="15117" max="15117" width="23.44140625" style="141" customWidth="1"/>
    <col min="15118" max="15359" width="16.88671875" style="141"/>
    <col min="15360" max="15360" width="6.88671875" style="141" customWidth="1"/>
    <col min="15361" max="15361" width="52" style="141" customWidth="1"/>
    <col min="15362" max="15362" width="42.109375" style="141" customWidth="1"/>
    <col min="15363" max="15363" width="58.6640625" style="141" customWidth="1"/>
    <col min="15364" max="15364" width="42.109375" style="141" customWidth="1"/>
    <col min="15365" max="15365" width="14.33203125" style="141" customWidth="1"/>
    <col min="15366" max="15368" width="13.109375" style="141" customWidth="1"/>
    <col min="15369" max="15371" width="10.6640625" style="141" customWidth="1"/>
    <col min="15372" max="15372" width="20.44140625" style="141" bestFit="1" customWidth="1"/>
    <col min="15373" max="15373" width="23.44140625" style="141" customWidth="1"/>
    <col min="15374" max="15615" width="16.88671875" style="141"/>
    <col min="15616" max="15616" width="6.88671875" style="141" customWidth="1"/>
    <col min="15617" max="15617" width="52" style="141" customWidth="1"/>
    <col min="15618" max="15618" width="42.109375" style="141" customWidth="1"/>
    <col min="15619" max="15619" width="58.6640625" style="141" customWidth="1"/>
    <col min="15620" max="15620" width="42.109375" style="141" customWidth="1"/>
    <col min="15621" max="15621" width="14.33203125" style="141" customWidth="1"/>
    <col min="15622" max="15624" width="13.109375" style="141" customWidth="1"/>
    <col min="15625" max="15627" width="10.6640625" style="141" customWidth="1"/>
    <col min="15628" max="15628" width="20.44140625" style="141" bestFit="1" customWidth="1"/>
    <col min="15629" max="15629" width="23.44140625" style="141" customWidth="1"/>
    <col min="15630" max="15871" width="16.88671875" style="141"/>
    <col min="15872" max="15872" width="6.88671875" style="141" customWidth="1"/>
    <col min="15873" max="15873" width="52" style="141" customWidth="1"/>
    <col min="15874" max="15874" width="42.109375" style="141" customWidth="1"/>
    <col min="15875" max="15875" width="58.6640625" style="141" customWidth="1"/>
    <col min="15876" max="15876" width="42.109375" style="141" customWidth="1"/>
    <col min="15877" max="15877" width="14.33203125" style="141" customWidth="1"/>
    <col min="15878" max="15880" width="13.109375" style="141" customWidth="1"/>
    <col min="15881" max="15883" width="10.6640625" style="141" customWidth="1"/>
    <col min="15884" max="15884" width="20.44140625" style="141" bestFit="1" customWidth="1"/>
    <col min="15885" max="15885" width="23.44140625" style="141" customWidth="1"/>
    <col min="15886" max="16127" width="16.88671875" style="141"/>
    <col min="16128" max="16128" width="6.88671875" style="141" customWidth="1"/>
    <col min="16129" max="16129" width="52" style="141" customWidth="1"/>
    <col min="16130" max="16130" width="42.109375" style="141" customWidth="1"/>
    <col min="16131" max="16131" width="58.6640625" style="141" customWidth="1"/>
    <col min="16132" max="16132" width="42.109375" style="141" customWidth="1"/>
    <col min="16133" max="16133" width="14.33203125" style="141" customWidth="1"/>
    <col min="16134" max="16136" width="13.109375" style="141" customWidth="1"/>
    <col min="16137" max="16139" width="10.6640625" style="141" customWidth="1"/>
    <col min="16140" max="16140" width="20.44140625" style="141" bestFit="1" customWidth="1"/>
    <col min="16141" max="16141" width="23.44140625" style="141" customWidth="1"/>
    <col min="16142" max="16384" width="16.88671875" style="141"/>
  </cols>
  <sheetData>
    <row r="1" spans="1:13" ht="30" customHeight="1"/>
    <row r="2" spans="1:13" ht="30" customHeight="1">
      <c r="A2" s="583" t="s">
        <v>618</v>
      </c>
      <c r="B2" s="583"/>
      <c r="C2" s="583"/>
      <c r="D2" s="583"/>
      <c r="E2" s="583"/>
      <c r="F2" s="583"/>
      <c r="G2" s="583"/>
      <c r="H2" s="583"/>
      <c r="I2" s="583"/>
      <c r="J2" s="583"/>
      <c r="K2" s="583"/>
    </row>
    <row r="3" spans="1:13" ht="30" customHeight="1">
      <c r="A3" s="583" t="s">
        <v>674</v>
      </c>
      <c r="B3" s="583"/>
      <c r="C3" s="583"/>
      <c r="D3" s="583"/>
      <c r="E3" s="583"/>
      <c r="F3" s="583"/>
      <c r="G3" s="583"/>
      <c r="H3" s="583"/>
      <c r="I3" s="583"/>
      <c r="J3" s="583"/>
      <c r="K3" s="583"/>
    </row>
    <row r="4" spans="1:13" ht="30" customHeight="1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3" s="143" customFormat="1" ht="15.6">
      <c r="A5" s="228"/>
      <c r="B5" s="228"/>
      <c r="C5" s="228"/>
      <c r="D5" s="228"/>
      <c r="E5" s="228"/>
      <c r="F5" s="228"/>
      <c r="G5" s="228"/>
      <c r="H5" s="228"/>
      <c r="I5" s="228"/>
      <c r="J5" s="228"/>
      <c r="K5" s="228"/>
    </row>
    <row r="6" spans="1:13" ht="15.6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</row>
    <row r="7" spans="1:13" ht="24.6">
      <c r="A7" s="584" t="s">
        <v>870</v>
      </c>
      <c r="B7" s="585"/>
      <c r="C7" s="585"/>
      <c r="D7" s="585"/>
      <c r="E7" s="585"/>
      <c r="F7" s="585"/>
      <c r="G7" s="585"/>
      <c r="H7" s="585"/>
      <c r="I7" s="585"/>
      <c r="J7" s="585"/>
      <c r="K7" s="585"/>
    </row>
    <row r="8" spans="1:13" ht="15.6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</row>
    <row r="9" spans="1:13" s="143" customFormat="1" ht="15.6">
      <c r="A9" s="228"/>
      <c r="B9" s="228"/>
      <c r="C9" s="228"/>
      <c r="D9" s="228"/>
      <c r="E9" s="228"/>
      <c r="F9" s="228"/>
      <c r="G9" s="228"/>
      <c r="H9" s="228"/>
      <c r="I9" s="228"/>
      <c r="J9" s="228"/>
      <c r="K9" s="228"/>
    </row>
    <row r="10" spans="1:13" ht="15.6" thickBot="1"/>
    <row r="11" spans="1:13" s="1" customFormat="1" ht="30" customHeight="1" thickBot="1">
      <c r="A11" s="586" t="s">
        <v>619</v>
      </c>
      <c r="B11" s="587"/>
      <c r="C11" s="587"/>
      <c r="D11" s="587"/>
      <c r="E11" s="587"/>
      <c r="F11" s="587"/>
      <c r="G11" s="587"/>
      <c r="H11" s="587"/>
      <c r="I11" s="587"/>
      <c r="J11" s="587"/>
      <c r="K11" s="588"/>
    </row>
    <row r="12" spans="1:13" s="1" customFormat="1" ht="30" customHeight="1" thickBot="1">
      <c r="A12" s="589" t="s">
        <v>676</v>
      </c>
      <c r="B12" s="590"/>
      <c r="C12" s="590"/>
      <c r="D12" s="590"/>
      <c r="E12" s="590"/>
      <c r="F12" s="590"/>
      <c r="G12" s="590"/>
      <c r="H12" s="590"/>
      <c r="I12" s="590"/>
      <c r="J12" s="590"/>
      <c r="K12" s="591"/>
    </row>
    <row r="13" spans="1:13" s="1" customFormat="1" ht="30" customHeight="1" thickBot="1">
      <c r="A13" s="565" t="s">
        <v>620</v>
      </c>
      <c r="B13" s="566"/>
      <c r="C13" s="566"/>
      <c r="D13" s="566"/>
      <c r="E13" s="566"/>
      <c r="F13" s="566"/>
      <c r="G13" s="566"/>
      <c r="H13" s="566"/>
      <c r="I13" s="566"/>
      <c r="J13" s="566"/>
      <c r="K13" s="567"/>
    </row>
    <row r="14" spans="1:13" s="1" customFormat="1" ht="30" customHeight="1" thickBot="1">
      <c r="A14" s="569" t="s">
        <v>621</v>
      </c>
      <c r="B14" s="571" t="s">
        <v>622</v>
      </c>
      <c r="C14" s="572"/>
      <c r="D14" s="572"/>
      <c r="E14" s="573" t="s">
        <v>623</v>
      </c>
      <c r="F14" s="574"/>
      <c r="G14" s="571" t="s">
        <v>624</v>
      </c>
      <c r="H14" s="572"/>
      <c r="I14" s="572"/>
      <c r="J14" s="572"/>
      <c r="K14" s="577"/>
    </row>
    <row r="15" spans="1:13" s="1" customFormat="1" ht="19.8" thickBot="1">
      <c r="A15" s="570"/>
      <c r="B15" s="571" t="s">
        <v>537</v>
      </c>
      <c r="C15" s="577"/>
      <c r="D15" s="226" t="s">
        <v>625</v>
      </c>
      <c r="E15" s="575"/>
      <c r="F15" s="576"/>
      <c r="G15" s="257" t="s">
        <v>626</v>
      </c>
      <c r="H15" s="227" t="s">
        <v>627</v>
      </c>
      <c r="I15" s="227" t="s">
        <v>628</v>
      </c>
      <c r="J15" s="227" t="s">
        <v>629</v>
      </c>
      <c r="K15" s="227" t="s">
        <v>0</v>
      </c>
    </row>
    <row r="16" spans="1:13" s="2" customFormat="1" ht="27.9" customHeight="1">
      <c r="A16" s="578" t="s">
        <v>675</v>
      </c>
      <c r="B16" s="568" t="s">
        <v>632</v>
      </c>
      <c r="C16" s="568"/>
      <c r="D16" s="207" t="s">
        <v>631</v>
      </c>
      <c r="E16" s="554">
        <v>0.253</v>
      </c>
      <c r="F16" s="554"/>
      <c r="G16" s="210">
        <v>0.02</v>
      </c>
      <c r="H16" s="210">
        <v>0.03</v>
      </c>
      <c r="I16" s="210">
        <v>0.03</v>
      </c>
      <c r="J16" s="210">
        <v>0</v>
      </c>
      <c r="K16" s="211">
        <f t="shared" ref="K16:K22" si="0">SUM(G16:J16)</f>
        <v>0.08</v>
      </c>
      <c r="M16" s="209">
        <f t="shared" ref="M16:M20" si="1">+E16-K16</f>
        <v>0.17299999999999999</v>
      </c>
    </row>
    <row r="17" spans="1:15" s="1" customFormat="1" ht="27.9" customHeight="1">
      <c r="A17" s="579"/>
      <c r="B17" s="568" t="s">
        <v>633</v>
      </c>
      <c r="C17" s="568"/>
      <c r="D17" s="207" t="s">
        <v>630</v>
      </c>
      <c r="E17" s="554">
        <v>0.65046000000000004</v>
      </c>
      <c r="F17" s="554"/>
      <c r="G17" s="210">
        <v>0.01</v>
      </c>
      <c r="H17" s="210">
        <v>0.01</v>
      </c>
      <c r="I17" s="210">
        <v>0.01</v>
      </c>
      <c r="J17" s="210">
        <v>0</v>
      </c>
      <c r="K17" s="211">
        <f t="shared" si="0"/>
        <v>0.03</v>
      </c>
      <c r="M17" s="209">
        <f t="shared" si="1"/>
        <v>0.62046000000000001</v>
      </c>
    </row>
    <row r="18" spans="1:15" s="1" customFormat="1" ht="39.9" customHeight="1">
      <c r="A18" s="579"/>
      <c r="B18" s="568" t="s">
        <v>677</v>
      </c>
      <c r="C18" s="568"/>
      <c r="D18" s="207" t="s">
        <v>630</v>
      </c>
      <c r="E18" s="554">
        <v>0.20200000000000001</v>
      </c>
      <c r="F18" s="554"/>
      <c r="G18" s="210">
        <v>0.02</v>
      </c>
      <c r="H18" s="210">
        <v>0.01</v>
      </c>
      <c r="I18" s="210">
        <v>0.01</v>
      </c>
      <c r="J18" s="210">
        <v>0</v>
      </c>
      <c r="K18" s="211">
        <f t="shared" si="0"/>
        <v>0.04</v>
      </c>
      <c r="M18" s="209">
        <f t="shared" si="1"/>
        <v>0.16200000000000001</v>
      </c>
    </row>
    <row r="19" spans="1:15" s="1" customFormat="1" ht="27.9" customHeight="1">
      <c r="A19" s="579"/>
      <c r="B19" s="568" t="s">
        <v>634</v>
      </c>
      <c r="C19" s="568"/>
      <c r="D19" s="207" t="s">
        <v>631</v>
      </c>
      <c r="E19" s="554">
        <v>0.53</v>
      </c>
      <c r="F19" s="554"/>
      <c r="G19" s="210">
        <v>0</v>
      </c>
      <c r="H19" s="210">
        <v>0</v>
      </c>
      <c r="I19" s="210">
        <v>0</v>
      </c>
      <c r="J19" s="210">
        <v>0</v>
      </c>
      <c r="K19" s="211">
        <f t="shared" si="0"/>
        <v>0</v>
      </c>
      <c r="M19" s="209">
        <f t="shared" si="1"/>
        <v>0.53</v>
      </c>
    </row>
    <row r="20" spans="1:15" s="1" customFormat="1" ht="27.9" customHeight="1">
      <c r="A20" s="579"/>
      <c r="B20" s="568" t="s">
        <v>683</v>
      </c>
      <c r="C20" s="568"/>
      <c r="D20" s="207" t="s">
        <v>630</v>
      </c>
      <c r="E20" s="554">
        <v>0.62029999999999996</v>
      </c>
      <c r="F20" s="554"/>
      <c r="G20" s="210">
        <v>0</v>
      </c>
      <c r="H20" s="210">
        <v>0.02</v>
      </c>
      <c r="I20" s="210">
        <v>0</v>
      </c>
      <c r="J20" s="210">
        <v>0</v>
      </c>
      <c r="K20" s="211">
        <f t="shared" si="0"/>
        <v>0.02</v>
      </c>
      <c r="M20" s="209">
        <f t="shared" si="1"/>
        <v>0.60029999999999994</v>
      </c>
    </row>
    <row r="21" spans="1:15" s="1" customFormat="1" ht="27.9" hidden="1" customHeight="1">
      <c r="A21" s="579"/>
      <c r="B21" s="581" t="s">
        <v>684</v>
      </c>
      <c r="C21" s="582"/>
      <c r="D21" s="237"/>
      <c r="E21" s="238"/>
      <c r="F21" s="238"/>
      <c r="G21" s="239"/>
      <c r="H21" s="239"/>
      <c r="I21" s="239"/>
      <c r="J21" s="239"/>
      <c r="K21" s="240"/>
      <c r="M21" s="209"/>
    </row>
    <row r="22" spans="1:15" s="1" customFormat="1" ht="27.9" customHeight="1" thickBot="1">
      <c r="A22" s="580"/>
      <c r="B22" s="557" t="s">
        <v>635</v>
      </c>
      <c r="C22" s="557"/>
      <c r="D22" s="208" t="s">
        <v>630</v>
      </c>
      <c r="E22" s="558">
        <v>0.66059999999999997</v>
      </c>
      <c r="F22" s="558"/>
      <c r="G22" s="212">
        <v>0.01</v>
      </c>
      <c r="H22" s="212">
        <v>0.02</v>
      </c>
      <c r="I22" s="212">
        <v>0.01</v>
      </c>
      <c r="J22" s="212">
        <v>0</v>
      </c>
      <c r="K22" s="213">
        <f t="shared" si="0"/>
        <v>0.04</v>
      </c>
      <c r="M22" s="209">
        <f>+E22-K22</f>
        <v>0.62059999999999993</v>
      </c>
    </row>
    <row r="23" spans="1:15" s="1" customFormat="1">
      <c r="A23" s="205"/>
      <c r="B23" s="144"/>
      <c r="C23" s="145"/>
      <c r="D23" s="145"/>
      <c r="E23" s="145"/>
      <c r="F23" s="146"/>
      <c r="G23" s="146"/>
      <c r="H23" s="146"/>
      <c r="I23" s="146"/>
      <c r="J23" s="146"/>
      <c r="K23" s="206"/>
      <c r="M23" s="151"/>
      <c r="N23" s="151"/>
      <c r="O23" s="151"/>
    </row>
    <row r="24" spans="1:15" s="1" customFormat="1" ht="35.1" customHeight="1" thickBot="1">
      <c r="A24" s="559" t="s">
        <v>679</v>
      </c>
      <c r="B24" s="560"/>
      <c r="C24" s="560"/>
      <c r="D24" s="560"/>
      <c r="E24" s="560"/>
      <c r="F24" s="560"/>
      <c r="G24" s="560"/>
      <c r="H24" s="560"/>
      <c r="I24" s="560"/>
      <c r="J24" s="560"/>
      <c r="K24" s="561"/>
      <c r="M24" s="151"/>
      <c r="N24" s="151"/>
      <c r="O24" s="151"/>
    </row>
    <row r="25" spans="1:15" s="147" customFormat="1" ht="63" customHeight="1" thickBot="1">
      <c r="A25" s="202" t="s">
        <v>636</v>
      </c>
      <c r="B25" s="202" t="s">
        <v>637</v>
      </c>
      <c r="C25" s="202" t="s">
        <v>638</v>
      </c>
      <c r="D25" s="202" t="s">
        <v>639</v>
      </c>
      <c r="E25" s="202" t="s">
        <v>640</v>
      </c>
      <c r="F25" s="562" t="s">
        <v>641</v>
      </c>
      <c r="G25" s="563"/>
      <c r="H25" s="562" t="s">
        <v>669</v>
      </c>
      <c r="I25" s="564"/>
      <c r="J25" s="562" t="s">
        <v>642</v>
      </c>
      <c r="K25" s="564"/>
      <c r="M25" s="152"/>
      <c r="N25" s="594"/>
      <c r="O25" s="594"/>
    </row>
    <row r="26" spans="1:15" s="1" customFormat="1" ht="48.6" customHeight="1" thickBot="1">
      <c r="A26" s="555" t="s">
        <v>643</v>
      </c>
      <c r="B26" s="556"/>
      <c r="C26" s="229"/>
      <c r="D26" s="229"/>
      <c r="E26" s="261"/>
      <c r="F26" s="261"/>
      <c r="G26" s="261"/>
      <c r="H26" s="230"/>
      <c r="I26" s="230"/>
      <c r="J26" s="230"/>
      <c r="K26" s="231"/>
    </row>
    <row r="27" spans="1:15" ht="281.39999999999998" customHeight="1">
      <c r="A27" s="516" t="s">
        <v>738</v>
      </c>
      <c r="B27" s="148" t="s">
        <v>737</v>
      </c>
      <c r="C27" s="148" t="s">
        <v>1363</v>
      </c>
      <c r="D27" s="220" t="s">
        <v>739</v>
      </c>
      <c r="E27" s="258">
        <v>2019</v>
      </c>
      <c r="F27" s="518" t="s">
        <v>685</v>
      </c>
      <c r="G27" s="518"/>
      <c r="H27" s="525">
        <f>+'Matriz de Necesidades'!D9</f>
        <v>146956978</v>
      </c>
      <c r="I27" s="525"/>
      <c r="J27" s="518" t="s">
        <v>645</v>
      </c>
      <c r="K27" s="519"/>
    </row>
    <row r="28" spans="1:15" ht="215.4" customHeight="1">
      <c r="A28" s="524"/>
      <c r="B28" s="149" t="s">
        <v>691</v>
      </c>
      <c r="C28" s="149" t="s">
        <v>690</v>
      </c>
      <c r="D28" s="223" t="s">
        <v>740</v>
      </c>
      <c r="E28" s="259">
        <v>2019</v>
      </c>
      <c r="F28" s="520" t="s">
        <v>686</v>
      </c>
      <c r="G28" s="520"/>
      <c r="H28" s="526"/>
      <c r="I28" s="526"/>
      <c r="J28" s="520"/>
      <c r="K28" s="521"/>
    </row>
    <row r="29" spans="1:15" ht="159.6" customHeight="1">
      <c r="A29" s="524"/>
      <c r="B29" s="223" t="s">
        <v>741</v>
      </c>
      <c r="C29" s="223" t="s">
        <v>692</v>
      </c>
      <c r="D29" s="223" t="s">
        <v>742</v>
      </c>
      <c r="E29" s="259">
        <v>2019</v>
      </c>
      <c r="F29" s="520" t="s">
        <v>646</v>
      </c>
      <c r="G29" s="520"/>
      <c r="H29" s="526"/>
      <c r="I29" s="526"/>
      <c r="J29" s="520"/>
      <c r="K29" s="521"/>
    </row>
    <row r="30" spans="1:15" ht="140.4" customHeight="1" thickBot="1">
      <c r="A30" s="517"/>
      <c r="B30" s="225" t="s">
        <v>743</v>
      </c>
      <c r="C30" s="225" t="s">
        <v>744</v>
      </c>
      <c r="D30" s="225" t="s">
        <v>745</v>
      </c>
      <c r="E30" s="260">
        <v>2019</v>
      </c>
      <c r="F30" s="522" t="s">
        <v>646</v>
      </c>
      <c r="G30" s="522"/>
      <c r="H30" s="527"/>
      <c r="I30" s="527"/>
      <c r="J30" s="522"/>
      <c r="K30" s="523"/>
    </row>
    <row r="31" spans="1:15" s="2" customFormat="1" ht="300" customHeight="1">
      <c r="A31" s="516" t="s">
        <v>1</v>
      </c>
      <c r="B31" s="247" t="s">
        <v>2</v>
      </c>
      <c r="C31" s="247" t="s">
        <v>770</v>
      </c>
      <c r="D31" s="247" t="s">
        <v>746</v>
      </c>
      <c r="E31" s="258">
        <v>2019</v>
      </c>
      <c r="F31" s="518" t="s">
        <v>693</v>
      </c>
      <c r="G31" s="518"/>
      <c r="H31" s="525">
        <f>+'Matriz de Necesidades'!D135</f>
        <v>3903445517.1499996</v>
      </c>
      <c r="I31" s="597"/>
      <c r="J31" s="518" t="s">
        <v>647</v>
      </c>
      <c r="K31" s="519"/>
    </row>
    <row r="32" spans="1:15" ht="249.9" customHeight="1">
      <c r="A32" s="524"/>
      <c r="B32" s="248" t="s">
        <v>3</v>
      </c>
      <c r="C32" s="248" t="s">
        <v>1001</v>
      </c>
      <c r="D32" s="248" t="s">
        <v>701</v>
      </c>
      <c r="E32" s="259">
        <v>2019</v>
      </c>
      <c r="F32" s="520" t="s">
        <v>868</v>
      </c>
      <c r="G32" s="520"/>
      <c r="H32" s="598"/>
      <c r="I32" s="598"/>
      <c r="J32" s="520"/>
      <c r="K32" s="521"/>
    </row>
    <row r="33" spans="1:12" ht="150" customHeight="1">
      <c r="A33" s="524"/>
      <c r="B33" s="248" t="s">
        <v>4</v>
      </c>
      <c r="C33" s="248" t="s">
        <v>711</v>
      </c>
      <c r="D33" s="248" t="s">
        <v>648</v>
      </c>
      <c r="E33" s="259">
        <v>2019</v>
      </c>
      <c r="F33" s="520" t="s">
        <v>646</v>
      </c>
      <c r="G33" s="520"/>
      <c r="H33" s="598"/>
      <c r="I33" s="598"/>
      <c r="J33" s="520"/>
      <c r="K33" s="521"/>
    </row>
    <row r="34" spans="1:12" s="250" customFormat="1" ht="260.10000000000002" customHeight="1">
      <c r="A34" s="524"/>
      <c r="B34" s="248" t="s">
        <v>712</v>
      </c>
      <c r="C34" s="248" t="s">
        <v>747</v>
      </c>
      <c r="D34" s="248" t="s">
        <v>748</v>
      </c>
      <c r="E34" s="259">
        <v>2019</v>
      </c>
      <c r="F34" s="520" t="s">
        <v>646</v>
      </c>
      <c r="G34" s="520"/>
      <c r="H34" s="598"/>
      <c r="I34" s="598"/>
      <c r="J34" s="520"/>
      <c r="K34" s="521"/>
    </row>
    <row r="35" spans="1:12" ht="96.75" customHeight="1" thickBot="1">
      <c r="A35" s="517"/>
      <c r="B35" s="249" t="s">
        <v>5</v>
      </c>
      <c r="C35" s="249" t="s">
        <v>749</v>
      </c>
      <c r="D35" s="249" t="s">
        <v>649</v>
      </c>
      <c r="E35" s="260">
        <v>2019</v>
      </c>
      <c r="F35" s="522" t="s">
        <v>644</v>
      </c>
      <c r="G35" s="522"/>
      <c r="H35" s="599"/>
      <c r="I35" s="599"/>
      <c r="J35" s="522"/>
      <c r="K35" s="523"/>
    </row>
    <row r="36" spans="1:12" s="1" customFormat="1" ht="65.25" customHeight="1" thickBot="1">
      <c r="A36" s="202" t="s">
        <v>636</v>
      </c>
      <c r="B36" s="202" t="s">
        <v>637</v>
      </c>
      <c r="C36" s="202" t="s">
        <v>638</v>
      </c>
      <c r="D36" s="202" t="s">
        <v>639</v>
      </c>
      <c r="E36" s="202" t="s">
        <v>640</v>
      </c>
      <c r="F36" s="562" t="s">
        <v>641</v>
      </c>
      <c r="G36" s="563"/>
      <c r="H36" s="562" t="s">
        <v>669</v>
      </c>
      <c r="I36" s="564"/>
      <c r="J36" s="562" t="s">
        <v>642</v>
      </c>
      <c r="K36" s="564"/>
    </row>
    <row r="37" spans="1:12" s="1" customFormat="1" ht="35.1" customHeight="1" thickBot="1">
      <c r="A37" s="555" t="s">
        <v>643</v>
      </c>
      <c r="B37" s="556"/>
      <c r="C37" s="229"/>
      <c r="D37" s="229"/>
      <c r="E37" s="261"/>
      <c r="F37" s="261"/>
      <c r="G37" s="261"/>
      <c r="H37" s="230"/>
      <c r="I37" s="230"/>
      <c r="J37" s="230"/>
      <c r="K37" s="231"/>
    </row>
    <row r="38" spans="1:12" ht="219.9" customHeight="1">
      <c r="A38" s="513" t="s">
        <v>6</v>
      </c>
      <c r="B38" s="243" t="s">
        <v>7</v>
      </c>
      <c r="C38" s="243" t="s">
        <v>752</v>
      </c>
      <c r="D38" s="247" t="s">
        <v>750</v>
      </c>
      <c r="E38" s="258">
        <v>2019</v>
      </c>
      <c r="F38" s="518" t="s">
        <v>644</v>
      </c>
      <c r="G38" s="518"/>
      <c r="H38" s="540">
        <f>+'Matriz de Necesidades'!D474</f>
        <v>124443514.46666667</v>
      </c>
      <c r="I38" s="541"/>
      <c r="J38" s="534" t="s">
        <v>650</v>
      </c>
      <c r="K38" s="535"/>
    </row>
    <row r="39" spans="1:12" ht="125.1" customHeight="1">
      <c r="A39" s="514"/>
      <c r="B39" s="242" t="s">
        <v>713</v>
      </c>
      <c r="C39" s="242" t="s">
        <v>687</v>
      </c>
      <c r="D39" s="248" t="s">
        <v>751</v>
      </c>
      <c r="E39" s="259">
        <v>2019</v>
      </c>
      <c r="F39" s="520" t="s">
        <v>688</v>
      </c>
      <c r="G39" s="520"/>
      <c r="H39" s="542"/>
      <c r="I39" s="543"/>
      <c r="J39" s="536"/>
      <c r="K39" s="537"/>
    </row>
    <row r="40" spans="1:12" ht="225" customHeight="1">
      <c r="A40" s="514"/>
      <c r="B40" s="242" t="s">
        <v>689</v>
      </c>
      <c r="C40" s="242" t="s">
        <v>714</v>
      </c>
      <c r="D40" s="242" t="s">
        <v>715</v>
      </c>
      <c r="E40" s="259">
        <v>2019</v>
      </c>
      <c r="F40" s="520" t="s">
        <v>869</v>
      </c>
      <c r="G40" s="520"/>
      <c r="H40" s="542"/>
      <c r="I40" s="543"/>
      <c r="J40" s="536"/>
      <c r="K40" s="537"/>
      <c r="L40" s="150"/>
    </row>
    <row r="41" spans="1:12" ht="180" customHeight="1" thickBot="1">
      <c r="A41" s="515"/>
      <c r="B41" s="225" t="s">
        <v>819</v>
      </c>
      <c r="C41" s="225" t="s">
        <v>753</v>
      </c>
      <c r="D41" s="225" t="s">
        <v>653</v>
      </c>
      <c r="E41" s="260">
        <v>2019</v>
      </c>
      <c r="F41" s="522" t="s">
        <v>654</v>
      </c>
      <c r="G41" s="522"/>
      <c r="H41" s="544"/>
      <c r="I41" s="545"/>
      <c r="J41" s="538"/>
      <c r="K41" s="539"/>
      <c r="L41" s="150"/>
    </row>
    <row r="42" spans="1:12" ht="180" customHeight="1">
      <c r="A42" s="516" t="s">
        <v>697</v>
      </c>
      <c r="B42" s="220" t="s">
        <v>10</v>
      </c>
      <c r="C42" s="220" t="s">
        <v>820</v>
      </c>
      <c r="D42" s="220" t="s">
        <v>695</v>
      </c>
      <c r="E42" s="258">
        <v>2019</v>
      </c>
      <c r="F42" s="518" t="s">
        <v>696</v>
      </c>
      <c r="G42" s="518"/>
      <c r="H42" s="540">
        <f>+'Matriz de Necesidades'!D511</f>
        <v>11652749</v>
      </c>
      <c r="I42" s="541"/>
      <c r="J42" s="546" t="s">
        <v>652</v>
      </c>
      <c r="K42" s="547"/>
      <c r="L42" s="150"/>
    </row>
    <row r="43" spans="1:12" ht="81" customHeight="1">
      <c r="A43" s="524"/>
      <c r="B43" s="223" t="s">
        <v>11</v>
      </c>
      <c r="C43" s="223" t="s">
        <v>871</v>
      </c>
      <c r="D43" s="223" t="s">
        <v>678</v>
      </c>
      <c r="E43" s="259">
        <v>2019</v>
      </c>
      <c r="F43" s="520" t="s">
        <v>651</v>
      </c>
      <c r="G43" s="520"/>
      <c r="H43" s="542"/>
      <c r="I43" s="543"/>
      <c r="J43" s="548"/>
      <c r="K43" s="549"/>
      <c r="L43" s="150"/>
    </row>
    <row r="44" spans="1:12" ht="300" customHeight="1">
      <c r="A44" s="524"/>
      <c r="B44" s="223" t="s">
        <v>698</v>
      </c>
      <c r="C44" s="223" t="s">
        <v>822</v>
      </c>
      <c r="D44" s="223" t="s">
        <v>699</v>
      </c>
      <c r="E44" s="259"/>
      <c r="F44" s="520" t="s">
        <v>651</v>
      </c>
      <c r="G44" s="520"/>
      <c r="H44" s="542"/>
      <c r="I44" s="543"/>
      <c r="J44" s="548"/>
      <c r="K44" s="549"/>
      <c r="L44" s="150"/>
    </row>
    <row r="45" spans="1:12" ht="159.9" customHeight="1" thickBot="1">
      <c r="A45" s="517"/>
      <c r="B45" s="246" t="s">
        <v>734</v>
      </c>
      <c r="C45" s="225" t="s">
        <v>735</v>
      </c>
      <c r="D45" s="225" t="s">
        <v>736</v>
      </c>
      <c r="E45" s="260">
        <v>2019</v>
      </c>
      <c r="F45" s="522" t="s">
        <v>651</v>
      </c>
      <c r="G45" s="522"/>
      <c r="H45" s="544"/>
      <c r="I45" s="545"/>
      <c r="J45" s="550"/>
      <c r="K45" s="551"/>
      <c r="L45" s="150"/>
    </row>
    <row r="46" spans="1:12" s="1" customFormat="1" ht="30.9" customHeight="1" thickBot="1">
      <c r="A46" s="552" t="s">
        <v>655</v>
      </c>
      <c r="B46" s="553"/>
      <c r="C46" s="553"/>
      <c r="D46" s="232"/>
      <c r="E46" s="262"/>
      <c r="F46" s="262"/>
      <c r="G46" s="262"/>
      <c r="H46" s="233"/>
      <c r="I46" s="233"/>
      <c r="J46" s="233"/>
      <c r="K46" s="234"/>
    </row>
    <row r="47" spans="1:12" ht="240" customHeight="1">
      <c r="A47" s="516" t="s">
        <v>12</v>
      </c>
      <c r="B47" s="221" t="s">
        <v>673</v>
      </c>
      <c r="C47" s="148" t="s">
        <v>702</v>
      </c>
      <c r="D47" s="220" t="s">
        <v>694</v>
      </c>
      <c r="E47" s="258">
        <v>2019</v>
      </c>
      <c r="F47" s="518" t="s">
        <v>656</v>
      </c>
      <c r="G47" s="518"/>
      <c r="H47" s="525">
        <f>+'Matriz de Necesidades'!D519</f>
        <v>5097497.2</v>
      </c>
      <c r="I47" s="597"/>
      <c r="J47" s="518" t="s">
        <v>657</v>
      </c>
      <c r="K47" s="519"/>
      <c r="L47" s="150"/>
    </row>
    <row r="48" spans="1:12" ht="219.9" customHeight="1">
      <c r="A48" s="524"/>
      <c r="B48" s="222" t="s">
        <v>709</v>
      </c>
      <c r="C48" s="222" t="s">
        <v>703</v>
      </c>
      <c r="D48" s="222" t="s">
        <v>682</v>
      </c>
      <c r="E48" s="259">
        <v>2019</v>
      </c>
      <c r="F48" s="520" t="s">
        <v>656</v>
      </c>
      <c r="G48" s="520"/>
      <c r="H48" s="526"/>
      <c r="I48" s="598"/>
      <c r="J48" s="520"/>
      <c r="K48" s="521"/>
      <c r="L48" s="150"/>
    </row>
    <row r="49" spans="1:12" ht="249.9" customHeight="1">
      <c r="A49" s="524"/>
      <c r="B49" s="222" t="s">
        <v>710</v>
      </c>
      <c r="C49" s="222" t="s">
        <v>704</v>
      </c>
      <c r="D49" s="222" t="s">
        <v>672</v>
      </c>
      <c r="E49" s="259">
        <v>2019</v>
      </c>
      <c r="F49" s="520" t="s">
        <v>658</v>
      </c>
      <c r="G49" s="520"/>
      <c r="H49" s="598"/>
      <c r="I49" s="598"/>
      <c r="J49" s="520"/>
      <c r="K49" s="521"/>
      <c r="L49" s="150"/>
    </row>
    <row r="50" spans="1:12" ht="131.25" customHeight="1">
      <c r="A50" s="524"/>
      <c r="B50" s="223" t="s">
        <v>823</v>
      </c>
      <c r="C50" s="223" t="s">
        <v>717</v>
      </c>
      <c r="D50" s="223" t="s">
        <v>680</v>
      </c>
      <c r="E50" s="259">
        <v>2019</v>
      </c>
      <c r="F50" s="520" t="s">
        <v>659</v>
      </c>
      <c r="G50" s="520"/>
      <c r="H50" s="598"/>
      <c r="I50" s="598"/>
      <c r="J50" s="520"/>
      <c r="K50" s="521"/>
      <c r="L50" s="150"/>
    </row>
    <row r="51" spans="1:12" ht="110.1" customHeight="1" thickBot="1">
      <c r="A51" s="517"/>
      <c r="B51" s="509" t="s">
        <v>824</v>
      </c>
      <c r="C51" s="509" t="s">
        <v>716</v>
      </c>
      <c r="D51" s="509" t="s">
        <v>660</v>
      </c>
      <c r="E51" s="260">
        <v>2019</v>
      </c>
      <c r="F51" s="522" t="s">
        <v>661</v>
      </c>
      <c r="G51" s="522"/>
      <c r="H51" s="599"/>
      <c r="I51" s="599"/>
      <c r="J51" s="522"/>
      <c r="K51" s="523"/>
      <c r="L51" s="150"/>
    </row>
    <row r="52" spans="1:12" ht="255" customHeight="1">
      <c r="A52" s="516" t="s">
        <v>13</v>
      </c>
      <c r="B52" s="507" t="s">
        <v>718</v>
      </c>
      <c r="C52" s="148" t="s">
        <v>724</v>
      </c>
      <c r="D52" s="221" t="s">
        <v>725</v>
      </c>
      <c r="E52" s="258">
        <v>2019</v>
      </c>
      <c r="F52" s="518" t="s">
        <v>662</v>
      </c>
      <c r="G52" s="518"/>
      <c r="H52" s="525"/>
      <c r="I52" s="597"/>
      <c r="J52" s="518" t="s">
        <v>657</v>
      </c>
      <c r="K52" s="519"/>
      <c r="L52" s="150"/>
    </row>
    <row r="53" spans="1:12" ht="174.9" customHeight="1" thickBot="1">
      <c r="A53" s="517"/>
      <c r="B53" s="508" t="s">
        <v>825</v>
      </c>
      <c r="C53" s="509" t="s">
        <v>723</v>
      </c>
      <c r="D53" s="224" t="s">
        <v>726</v>
      </c>
      <c r="E53" s="260">
        <v>2019</v>
      </c>
      <c r="F53" s="522" t="s">
        <v>872</v>
      </c>
      <c r="G53" s="522"/>
      <c r="H53" s="527">
        <f>+'Matriz de Necesidades'!D574</f>
        <v>21338912.09</v>
      </c>
      <c r="I53" s="599"/>
      <c r="J53" s="522"/>
      <c r="K53" s="523"/>
      <c r="L53" s="150"/>
    </row>
    <row r="54" spans="1:12" s="1" customFormat="1" ht="30.9" customHeight="1" thickBot="1">
      <c r="A54" s="595" t="s">
        <v>663</v>
      </c>
      <c r="B54" s="596"/>
      <c r="C54" s="596"/>
      <c r="D54" s="245"/>
      <c r="E54" s="504"/>
      <c r="F54" s="504"/>
      <c r="G54" s="504"/>
      <c r="H54" s="505"/>
      <c r="I54" s="505"/>
      <c r="J54" s="505"/>
      <c r="K54" s="506"/>
    </row>
    <row r="55" spans="1:12" ht="249.9" customHeight="1">
      <c r="A55" s="516" t="s">
        <v>14</v>
      </c>
      <c r="B55" s="221" t="s">
        <v>719</v>
      </c>
      <c r="C55" s="221" t="s">
        <v>705</v>
      </c>
      <c r="D55" s="148" t="s">
        <v>706</v>
      </c>
      <c r="E55" s="258">
        <v>2019</v>
      </c>
      <c r="F55" s="518" t="s">
        <v>708</v>
      </c>
      <c r="G55" s="518"/>
      <c r="H55" s="525">
        <f>+'Matriz de Necesidades'!D598</f>
        <v>10786590</v>
      </c>
      <c r="I55" s="525"/>
      <c r="J55" s="518" t="s">
        <v>664</v>
      </c>
      <c r="K55" s="519"/>
      <c r="L55" s="150"/>
    </row>
    <row r="56" spans="1:12" ht="300" customHeight="1">
      <c r="A56" s="524"/>
      <c r="B56" s="222" t="s">
        <v>720</v>
      </c>
      <c r="C56" s="222" t="s">
        <v>721</v>
      </c>
      <c r="D56" s="223" t="s">
        <v>707</v>
      </c>
      <c r="E56" s="259">
        <v>2019</v>
      </c>
      <c r="F56" s="520"/>
      <c r="G56" s="520"/>
      <c r="H56" s="526"/>
      <c r="I56" s="526"/>
      <c r="J56" s="520"/>
      <c r="K56" s="521"/>
      <c r="L56" s="150"/>
    </row>
    <row r="57" spans="1:12" ht="180" customHeight="1" thickBot="1">
      <c r="A57" s="517"/>
      <c r="B57" s="224" t="s">
        <v>722</v>
      </c>
      <c r="C57" s="224" t="s">
        <v>873</v>
      </c>
      <c r="D57" s="225" t="s">
        <v>727</v>
      </c>
      <c r="E57" s="260">
        <v>2019</v>
      </c>
      <c r="F57" s="522"/>
      <c r="G57" s="522"/>
      <c r="H57" s="527"/>
      <c r="I57" s="527"/>
      <c r="J57" s="522"/>
      <c r="K57" s="523"/>
      <c r="L57" s="150"/>
    </row>
    <row r="58" spans="1:12" s="1" customFormat="1" ht="30.9" customHeight="1" thickBot="1">
      <c r="A58" s="595" t="s">
        <v>665</v>
      </c>
      <c r="B58" s="596"/>
      <c r="C58" s="596"/>
      <c r="D58" s="245"/>
      <c r="E58" s="504"/>
      <c r="F58" s="504"/>
      <c r="G58" s="504"/>
      <c r="H58" s="505"/>
      <c r="I58" s="505"/>
      <c r="J58" s="505"/>
      <c r="K58" s="506"/>
    </row>
    <row r="59" spans="1:12" ht="276.60000000000002" customHeight="1">
      <c r="A59" s="510" t="s">
        <v>666</v>
      </c>
      <c r="B59" s="221" t="s">
        <v>729</v>
      </c>
      <c r="C59" s="221" t="s">
        <v>730</v>
      </c>
      <c r="D59" s="221" t="s">
        <v>731</v>
      </c>
      <c r="E59" s="258">
        <v>2019</v>
      </c>
      <c r="F59" s="518" t="s">
        <v>681</v>
      </c>
      <c r="G59" s="518"/>
      <c r="H59" s="528">
        <f>+'Matriz de Necesidades'!D609</f>
        <v>22262937.5</v>
      </c>
      <c r="I59" s="529"/>
      <c r="J59" s="534" t="s">
        <v>667</v>
      </c>
      <c r="K59" s="535"/>
      <c r="L59" s="150"/>
    </row>
    <row r="60" spans="1:12" ht="320.10000000000002" customHeight="1">
      <c r="A60" s="511"/>
      <c r="B60" s="223" t="s">
        <v>940</v>
      </c>
      <c r="C60" s="223" t="s">
        <v>874</v>
      </c>
      <c r="D60" s="223" t="s">
        <v>728</v>
      </c>
      <c r="E60" s="259">
        <v>2019</v>
      </c>
      <c r="F60" s="520" t="s">
        <v>668</v>
      </c>
      <c r="G60" s="520"/>
      <c r="H60" s="530"/>
      <c r="I60" s="531"/>
      <c r="J60" s="536"/>
      <c r="K60" s="537"/>
    </row>
    <row r="61" spans="1:12" ht="355.8" customHeight="1">
      <c r="A61" s="511"/>
      <c r="B61" s="223" t="s">
        <v>941</v>
      </c>
      <c r="C61" s="223" t="s">
        <v>732</v>
      </c>
      <c r="D61" s="223" t="s">
        <v>733</v>
      </c>
      <c r="E61" s="259">
        <v>2019</v>
      </c>
      <c r="F61" s="520" t="s">
        <v>875</v>
      </c>
      <c r="G61" s="520"/>
      <c r="H61" s="530"/>
      <c r="I61" s="531"/>
      <c r="J61" s="536"/>
      <c r="K61" s="537"/>
    </row>
    <row r="62" spans="1:12" s="82" customFormat="1" ht="300" customHeight="1" thickBot="1">
      <c r="A62" s="512"/>
      <c r="B62" s="246" t="s">
        <v>942</v>
      </c>
      <c r="C62" s="225" t="s">
        <v>700</v>
      </c>
      <c r="D62" s="225" t="s">
        <v>754</v>
      </c>
      <c r="E62" s="260">
        <v>2019</v>
      </c>
      <c r="F62" s="522" t="s">
        <v>876</v>
      </c>
      <c r="G62" s="522"/>
      <c r="H62" s="532"/>
      <c r="I62" s="533"/>
      <c r="J62" s="538"/>
      <c r="K62" s="539"/>
    </row>
    <row r="63" spans="1:12" s="1" customFormat="1" ht="16.5" customHeight="1" thickBot="1">
      <c r="A63" s="592"/>
      <c r="B63" s="593"/>
      <c r="C63" s="244"/>
      <c r="D63" s="244"/>
      <c r="E63" s="263"/>
      <c r="F63" s="263"/>
      <c r="G63" s="263"/>
      <c r="H63" s="235"/>
      <c r="I63" s="235"/>
      <c r="J63" s="235"/>
      <c r="K63" s="236"/>
    </row>
    <row r="64" spans="1:12" ht="42.75" customHeight="1" thickBot="1">
      <c r="F64" s="562" t="s">
        <v>670</v>
      </c>
      <c r="G64" s="564"/>
      <c r="H64" s="600">
        <f>+H59+H55+H53+H47+H42+H38+H31+H27</f>
        <v>4245984695.4066663</v>
      </c>
      <c r="I64" s="601"/>
    </row>
  </sheetData>
  <mergeCells count="95">
    <mergeCell ref="F53:G53"/>
    <mergeCell ref="H53:I53"/>
    <mergeCell ref="F55:G57"/>
    <mergeCell ref="H55:I57"/>
    <mergeCell ref="F61:G61"/>
    <mergeCell ref="F64:G64"/>
    <mergeCell ref="H64:I64"/>
    <mergeCell ref="F59:G59"/>
    <mergeCell ref="F60:G60"/>
    <mergeCell ref="F62:G62"/>
    <mergeCell ref="F45:G45"/>
    <mergeCell ref="H52:I52"/>
    <mergeCell ref="F51:G51"/>
    <mergeCell ref="F52:G52"/>
    <mergeCell ref="F48:G48"/>
    <mergeCell ref="A63:B63"/>
    <mergeCell ref="A42:A45"/>
    <mergeCell ref="B19:C19"/>
    <mergeCell ref="N25:O25"/>
    <mergeCell ref="J25:K25"/>
    <mergeCell ref="J31:K35"/>
    <mergeCell ref="J36:K36"/>
    <mergeCell ref="A54:C54"/>
    <mergeCell ref="A58:C58"/>
    <mergeCell ref="F38:G38"/>
    <mergeCell ref="F34:G34"/>
    <mergeCell ref="F35:G35"/>
    <mergeCell ref="H31:I35"/>
    <mergeCell ref="F36:G36"/>
    <mergeCell ref="H36:I36"/>
    <mergeCell ref="F31:G31"/>
    <mergeCell ref="A2:K2"/>
    <mergeCell ref="A3:K3"/>
    <mergeCell ref="A7:K7"/>
    <mergeCell ref="A11:K11"/>
    <mergeCell ref="A12:K12"/>
    <mergeCell ref="A13:K13"/>
    <mergeCell ref="B16:C16"/>
    <mergeCell ref="E16:F16"/>
    <mergeCell ref="A14:A15"/>
    <mergeCell ref="B14:D14"/>
    <mergeCell ref="E14:F15"/>
    <mergeCell ref="G14:K14"/>
    <mergeCell ref="B15:C15"/>
    <mergeCell ref="A16:A22"/>
    <mergeCell ref="B17:C17"/>
    <mergeCell ref="B20:C20"/>
    <mergeCell ref="B21:C21"/>
    <mergeCell ref="E17:F17"/>
    <mergeCell ref="B18:C18"/>
    <mergeCell ref="E18:F18"/>
    <mergeCell ref="E19:F19"/>
    <mergeCell ref="E20:F20"/>
    <mergeCell ref="A37:B37"/>
    <mergeCell ref="A31:A35"/>
    <mergeCell ref="B22:C22"/>
    <mergeCell ref="E22:F22"/>
    <mergeCell ref="A24:K24"/>
    <mergeCell ref="A26:B26"/>
    <mergeCell ref="F25:G25"/>
    <mergeCell ref="H25:I25"/>
    <mergeCell ref="F27:G27"/>
    <mergeCell ref="F28:G28"/>
    <mergeCell ref="F29:G29"/>
    <mergeCell ref="F32:G32"/>
    <mergeCell ref="F30:G30"/>
    <mergeCell ref="F33:G33"/>
    <mergeCell ref="A27:A30"/>
    <mergeCell ref="H27:I30"/>
    <mergeCell ref="J27:K30"/>
    <mergeCell ref="H59:I62"/>
    <mergeCell ref="J59:K62"/>
    <mergeCell ref="J47:K51"/>
    <mergeCell ref="J52:K53"/>
    <mergeCell ref="H42:I45"/>
    <mergeCell ref="J42:K45"/>
    <mergeCell ref="H38:I41"/>
    <mergeCell ref="J38:K41"/>
    <mergeCell ref="H47:I51"/>
    <mergeCell ref="A59:A62"/>
    <mergeCell ref="A38:A41"/>
    <mergeCell ref="A52:A53"/>
    <mergeCell ref="J55:K57"/>
    <mergeCell ref="A55:A57"/>
    <mergeCell ref="A47:A51"/>
    <mergeCell ref="F39:G39"/>
    <mergeCell ref="F40:G40"/>
    <mergeCell ref="F42:G42"/>
    <mergeCell ref="F43:G43"/>
    <mergeCell ref="A46:C46"/>
    <mergeCell ref="F44:G44"/>
    <mergeCell ref="F41:G41"/>
    <mergeCell ref="F47:G47"/>
    <mergeCell ref="F49:G49"/>
    <mergeCell ref="F50:G50"/>
  </mergeCells>
  <printOptions horizontalCentered="1"/>
  <pageMargins left="0.15748031496062992" right="0.15748031496062992" top="0.39370078740157483" bottom="0.23622047244094491" header="0.15748031496062992" footer="0.11811023622047245"/>
  <pageSetup paperSize="137" scale="42" fitToWidth="2" fitToHeight="3" orientation="portrait" r:id="rId1"/>
  <rowBreaks count="2" manualBreakCount="2">
    <brk id="35" max="10" man="1"/>
    <brk id="51" max="1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"/>
  <sheetViews>
    <sheetView topLeftCell="A2" zoomScale="120" zoomScaleNormal="120" workbookViewId="0">
      <selection activeCell="A14" sqref="A14"/>
    </sheetView>
  </sheetViews>
  <sheetFormatPr baseColWidth="10" defaultColWidth="11.44140625" defaultRowHeight="13.8"/>
  <cols>
    <col min="1" max="1" width="76.5546875" style="264" bestFit="1" customWidth="1"/>
    <col min="2" max="2" width="13.33203125" style="264" bestFit="1" customWidth="1"/>
    <col min="3" max="3" width="20.6640625" style="264" customWidth="1"/>
    <col min="4" max="4" width="35.6640625" style="264" customWidth="1"/>
    <col min="5" max="16384" width="11.44140625" style="264"/>
  </cols>
  <sheetData>
    <row r="2" spans="1:4" ht="17.399999999999999">
      <c r="A2" s="644" t="s">
        <v>975</v>
      </c>
      <c r="B2" s="644"/>
      <c r="C2" s="644"/>
      <c r="D2" s="644"/>
    </row>
    <row r="4" spans="1:4" ht="35.1" customHeight="1">
      <c r="A4" s="30" t="s">
        <v>531</v>
      </c>
      <c r="B4" s="30" t="s">
        <v>308</v>
      </c>
      <c r="C4" s="30" t="s">
        <v>309</v>
      </c>
      <c r="D4" s="30" t="s">
        <v>554</v>
      </c>
    </row>
    <row r="5" spans="1:4" ht="24.9" customHeight="1">
      <c r="A5" s="291" t="s">
        <v>976</v>
      </c>
      <c r="B5" s="290">
        <v>4</v>
      </c>
      <c r="C5" s="4">
        <v>80000</v>
      </c>
      <c r="D5" s="289"/>
    </row>
  </sheetData>
  <mergeCells count="1">
    <mergeCell ref="A2:D2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workbookViewId="0">
      <selection activeCell="A4" sqref="A4:D4"/>
    </sheetView>
  </sheetViews>
  <sheetFormatPr baseColWidth="10" defaultColWidth="11.44140625" defaultRowHeight="13.8"/>
  <cols>
    <col min="1" max="1" width="76.5546875" style="264" bestFit="1" customWidth="1"/>
    <col min="2" max="2" width="13.33203125" style="264" bestFit="1" customWidth="1"/>
    <col min="3" max="3" width="20.6640625" style="264" customWidth="1"/>
    <col min="4" max="4" width="35.6640625" style="264" customWidth="1"/>
    <col min="5" max="16384" width="11.44140625" style="264"/>
  </cols>
  <sheetData>
    <row r="2" spans="1:4" ht="17.399999999999999">
      <c r="A2" s="644" t="s">
        <v>972</v>
      </c>
      <c r="B2" s="644"/>
      <c r="C2" s="644"/>
      <c r="D2" s="644"/>
    </row>
    <row r="4" spans="1:4" ht="35.1" customHeight="1">
      <c r="A4" s="30" t="s">
        <v>531</v>
      </c>
      <c r="B4" s="30" t="s">
        <v>308</v>
      </c>
      <c r="C4" s="30" t="s">
        <v>309</v>
      </c>
      <c r="D4" s="30" t="s">
        <v>554</v>
      </c>
    </row>
    <row r="5" spans="1:4" ht="24.9" customHeight="1">
      <c r="A5" s="288" t="s">
        <v>946</v>
      </c>
      <c r="B5" s="290">
        <v>4000</v>
      </c>
      <c r="C5" s="289">
        <v>30000</v>
      </c>
      <c r="D5" s="289">
        <f>+B5*C5</f>
        <v>120000000</v>
      </c>
    </row>
    <row r="6" spans="1:4" ht="24.9" customHeight="1">
      <c r="A6" s="288" t="s">
        <v>947</v>
      </c>
      <c r="B6" s="290">
        <v>800</v>
      </c>
      <c r="C6" s="289">
        <v>1715</v>
      </c>
      <c r="D6" s="289">
        <f t="shared" ref="D6:D31" si="0">+B6*C6</f>
        <v>1372000</v>
      </c>
    </row>
    <row r="7" spans="1:4" ht="24.9" customHeight="1">
      <c r="A7" s="288" t="s">
        <v>948</v>
      </c>
      <c r="B7" s="290">
        <v>400</v>
      </c>
      <c r="C7" s="289">
        <v>500</v>
      </c>
      <c r="D7" s="289">
        <f t="shared" si="0"/>
        <v>200000</v>
      </c>
    </row>
    <row r="8" spans="1:4" ht="24.9" customHeight="1">
      <c r="A8" s="288" t="s">
        <v>949</v>
      </c>
      <c r="B8" s="290">
        <v>200</v>
      </c>
      <c r="C8" s="289">
        <v>498</v>
      </c>
      <c r="D8" s="289">
        <f t="shared" si="0"/>
        <v>99600</v>
      </c>
    </row>
    <row r="9" spans="1:4" ht="24.9" customHeight="1">
      <c r="A9" s="288" t="s">
        <v>950</v>
      </c>
      <c r="B9" s="290">
        <v>200</v>
      </c>
      <c r="C9" s="289">
        <v>1960</v>
      </c>
      <c r="D9" s="289">
        <f t="shared" si="0"/>
        <v>392000</v>
      </c>
    </row>
    <row r="10" spans="1:4" ht="24.9" customHeight="1">
      <c r="A10" s="288" t="s">
        <v>951</v>
      </c>
      <c r="B10" s="290">
        <v>200</v>
      </c>
      <c r="C10" s="289">
        <v>500</v>
      </c>
      <c r="D10" s="289">
        <f t="shared" si="0"/>
        <v>100000</v>
      </c>
    </row>
    <row r="11" spans="1:4" ht="24.9" customHeight="1">
      <c r="A11" s="288" t="s">
        <v>952</v>
      </c>
      <c r="B11" s="290">
        <v>2</v>
      </c>
      <c r="C11" s="289">
        <v>1500</v>
      </c>
      <c r="D11" s="289">
        <f t="shared" si="0"/>
        <v>3000</v>
      </c>
    </row>
    <row r="12" spans="1:4" ht="24.9" customHeight="1">
      <c r="A12" s="288" t="s">
        <v>953</v>
      </c>
      <c r="B12" s="290">
        <v>100</v>
      </c>
      <c r="C12" s="289">
        <v>1500</v>
      </c>
      <c r="D12" s="289">
        <f t="shared" si="0"/>
        <v>150000</v>
      </c>
    </row>
    <row r="13" spans="1:4" ht="24.9" customHeight="1">
      <c r="A13" s="288" t="s">
        <v>954</v>
      </c>
      <c r="B13" s="290">
        <v>16</v>
      </c>
      <c r="C13" s="289">
        <v>1250</v>
      </c>
      <c r="D13" s="289">
        <f t="shared" si="0"/>
        <v>20000</v>
      </c>
    </row>
    <row r="14" spans="1:4" ht="24.9" customHeight="1">
      <c r="A14" s="288" t="s">
        <v>955</v>
      </c>
      <c r="B14" s="290">
        <v>100</v>
      </c>
      <c r="C14" s="289">
        <v>1000</v>
      </c>
      <c r="D14" s="289">
        <f t="shared" si="0"/>
        <v>100000</v>
      </c>
    </row>
    <row r="15" spans="1:4" ht="24.9" customHeight="1">
      <c r="A15" s="288" t="s">
        <v>956</v>
      </c>
      <c r="B15" s="290">
        <v>100</v>
      </c>
      <c r="C15" s="289">
        <v>100</v>
      </c>
      <c r="D15" s="289">
        <f t="shared" si="0"/>
        <v>10000</v>
      </c>
    </row>
    <row r="16" spans="1:4" ht="24.9" customHeight="1">
      <c r="A16" s="288" t="s">
        <v>957</v>
      </c>
      <c r="B16" s="290">
        <v>100</v>
      </c>
      <c r="C16" s="289">
        <v>100</v>
      </c>
      <c r="D16" s="289">
        <f t="shared" si="0"/>
        <v>10000</v>
      </c>
    </row>
    <row r="17" spans="1:4" ht="24.9" customHeight="1">
      <c r="A17" s="288" t="s">
        <v>958</v>
      </c>
      <c r="B17" s="290">
        <v>1000</v>
      </c>
      <c r="C17" s="289">
        <v>22500</v>
      </c>
      <c r="D17" s="289">
        <f t="shared" si="0"/>
        <v>22500000</v>
      </c>
    </row>
    <row r="18" spans="1:4" ht="24.9" customHeight="1">
      <c r="A18" s="288" t="s">
        <v>959</v>
      </c>
      <c r="B18" s="290">
        <v>1</v>
      </c>
      <c r="C18" s="289">
        <v>9600</v>
      </c>
      <c r="D18" s="289">
        <f t="shared" si="0"/>
        <v>9600</v>
      </c>
    </row>
    <row r="19" spans="1:4" ht="24.9" customHeight="1">
      <c r="A19" s="288" t="s">
        <v>960</v>
      </c>
      <c r="B19" s="290">
        <v>1</v>
      </c>
      <c r="C19" s="289">
        <v>15916</v>
      </c>
      <c r="D19" s="289">
        <f t="shared" si="0"/>
        <v>15916</v>
      </c>
    </row>
    <row r="20" spans="1:4" ht="24.9" customHeight="1">
      <c r="A20" s="288" t="s">
        <v>961</v>
      </c>
      <c r="B20" s="290">
        <v>1</v>
      </c>
      <c r="C20" s="289">
        <v>9792</v>
      </c>
      <c r="D20" s="289">
        <f t="shared" si="0"/>
        <v>9792</v>
      </c>
    </row>
    <row r="21" spans="1:4" ht="24.9" customHeight="1">
      <c r="A21" s="288" t="s">
        <v>962</v>
      </c>
      <c r="B21" s="290">
        <v>1</v>
      </c>
      <c r="C21" s="289">
        <v>16592</v>
      </c>
      <c r="D21" s="289">
        <f t="shared" si="0"/>
        <v>16592</v>
      </c>
    </row>
    <row r="22" spans="1:4" ht="24.9" customHeight="1">
      <c r="A22" s="288" t="s">
        <v>963</v>
      </c>
      <c r="B22" s="290">
        <v>1</v>
      </c>
      <c r="C22" s="289">
        <v>11000</v>
      </c>
      <c r="D22" s="289">
        <f t="shared" si="0"/>
        <v>11000</v>
      </c>
    </row>
    <row r="23" spans="1:4" ht="24.9" customHeight="1">
      <c r="A23" s="288" t="s">
        <v>964</v>
      </c>
      <c r="B23" s="290">
        <v>1</v>
      </c>
      <c r="C23" s="289">
        <v>3250</v>
      </c>
      <c r="D23" s="289">
        <f t="shared" si="0"/>
        <v>3250</v>
      </c>
    </row>
    <row r="24" spans="1:4" ht="24.9" customHeight="1">
      <c r="A24" s="288" t="s">
        <v>965</v>
      </c>
      <c r="B24" s="290">
        <v>1</v>
      </c>
      <c r="C24" s="289">
        <v>1949</v>
      </c>
      <c r="D24" s="289">
        <f t="shared" si="0"/>
        <v>1949</v>
      </c>
    </row>
    <row r="25" spans="1:4" ht="24.9" customHeight="1">
      <c r="A25" s="288" t="s">
        <v>966</v>
      </c>
      <c r="B25" s="290">
        <v>5</v>
      </c>
      <c r="C25" s="289">
        <v>50000</v>
      </c>
      <c r="D25" s="289">
        <f t="shared" si="0"/>
        <v>250000</v>
      </c>
    </row>
    <row r="26" spans="1:4" ht="24.9" customHeight="1">
      <c r="A26" s="288" t="s">
        <v>967</v>
      </c>
      <c r="B26" s="290">
        <v>10</v>
      </c>
      <c r="C26" s="289">
        <v>400</v>
      </c>
      <c r="D26" s="289">
        <f t="shared" si="0"/>
        <v>4000</v>
      </c>
    </row>
    <row r="27" spans="1:4" ht="24.9" customHeight="1">
      <c r="A27" s="288" t="s">
        <v>968</v>
      </c>
      <c r="B27" s="290">
        <v>20</v>
      </c>
      <c r="C27" s="289">
        <v>45</v>
      </c>
      <c r="D27" s="289">
        <f t="shared" si="0"/>
        <v>900</v>
      </c>
    </row>
    <row r="28" spans="1:4" ht="24.9" customHeight="1">
      <c r="A28" s="288" t="s">
        <v>969</v>
      </c>
      <c r="B28" s="290">
        <v>10</v>
      </c>
      <c r="C28" s="289">
        <v>195</v>
      </c>
      <c r="D28" s="289">
        <f t="shared" si="0"/>
        <v>1950</v>
      </c>
    </row>
    <row r="29" spans="1:4" ht="24.9" customHeight="1">
      <c r="A29" s="288" t="s">
        <v>970</v>
      </c>
      <c r="B29" s="290">
        <v>10</v>
      </c>
      <c r="C29" s="289">
        <v>110</v>
      </c>
      <c r="D29" s="289">
        <f t="shared" si="0"/>
        <v>1100</v>
      </c>
    </row>
    <row r="30" spans="1:4" ht="24.9" customHeight="1">
      <c r="A30" s="288" t="s">
        <v>971</v>
      </c>
      <c r="B30" s="290">
        <v>1</v>
      </c>
      <c r="C30" s="289">
        <v>85</v>
      </c>
      <c r="D30" s="289">
        <f t="shared" si="0"/>
        <v>85</v>
      </c>
    </row>
    <row r="31" spans="1:4" ht="24.9" customHeight="1">
      <c r="A31" s="288" t="s">
        <v>945</v>
      </c>
      <c r="B31" s="290">
        <v>2</v>
      </c>
      <c r="C31" s="289">
        <v>41300</v>
      </c>
      <c r="D31" s="289">
        <f t="shared" si="0"/>
        <v>82600</v>
      </c>
    </row>
    <row r="32" spans="1:4" ht="24.9" customHeight="1">
      <c r="A32" s="288" t="s">
        <v>944</v>
      </c>
      <c r="B32" s="290">
        <v>16</v>
      </c>
      <c r="C32" s="289">
        <v>3200</v>
      </c>
      <c r="D32" s="289">
        <f>+B32*C32</f>
        <v>51200</v>
      </c>
    </row>
    <row r="33" spans="4:4" ht="30" customHeight="1">
      <c r="D33" s="298">
        <f>SUM(D5:D32)</f>
        <v>145416534</v>
      </c>
    </row>
  </sheetData>
  <mergeCells count="1">
    <mergeCell ref="A2:D2"/>
  </mergeCells>
  <printOptions horizontalCentered="1"/>
  <pageMargins left="0.15748031496062992" right="0.11811023622047245" top="0.28000000000000003" bottom="0.26" header="0.16" footer="0.16"/>
  <pageSetup scale="9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"/>
  <sheetViews>
    <sheetView workbookViewId="0">
      <selection activeCell="C12" sqref="C12"/>
    </sheetView>
  </sheetViews>
  <sheetFormatPr baseColWidth="10" defaultRowHeight="14.4"/>
  <cols>
    <col min="1" max="1" width="45.6640625" customWidth="1"/>
    <col min="2" max="2" width="18" customWidth="1"/>
    <col min="3" max="3" width="19.88671875" customWidth="1"/>
    <col min="4" max="4" width="16.33203125" customWidth="1"/>
  </cols>
  <sheetData>
    <row r="2" spans="1:4" ht="31.2">
      <c r="A2" s="30" t="s">
        <v>531</v>
      </c>
      <c r="B2" s="30" t="s">
        <v>308</v>
      </c>
      <c r="C2" s="30" t="s">
        <v>309</v>
      </c>
      <c r="D2" s="30" t="s">
        <v>554</v>
      </c>
    </row>
    <row r="3" spans="1:4" ht="21.9" customHeight="1">
      <c r="A3" t="s">
        <v>1094</v>
      </c>
      <c r="B3">
        <v>2</v>
      </c>
      <c r="C3">
        <v>2500</v>
      </c>
      <c r="D3">
        <f>+B3*C3</f>
        <v>5000</v>
      </c>
    </row>
    <row r="4" spans="1:4" ht="21.9" customHeight="1">
      <c r="A4" t="s">
        <v>1095</v>
      </c>
      <c r="B4">
        <v>2</v>
      </c>
      <c r="C4">
        <v>3050</v>
      </c>
      <c r="D4" s="106">
        <f t="shared" ref="D4:D14" si="0">+B4*C4</f>
        <v>6100</v>
      </c>
    </row>
    <row r="5" spans="1:4" ht="21.9" customHeight="1">
      <c r="A5" t="s">
        <v>1096</v>
      </c>
      <c r="B5">
        <v>2</v>
      </c>
      <c r="C5">
        <v>4600</v>
      </c>
      <c r="D5" s="106">
        <f t="shared" si="0"/>
        <v>9200</v>
      </c>
    </row>
    <row r="6" spans="1:4" ht="21.9" customHeight="1">
      <c r="A6" t="s">
        <v>1097</v>
      </c>
      <c r="B6">
        <v>3</v>
      </c>
      <c r="C6">
        <v>500</v>
      </c>
      <c r="D6" s="106">
        <f t="shared" si="0"/>
        <v>1500</v>
      </c>
    </row>
    <row r="7" spans="1:4" ht="21.9" customHeight="1">
      <c r="A7" t="s">
        <v>1098</v>
      </c>
      <c r="B7">
        <v>2</v>
      </c>
      <c r="C7">
        <v>15916</v>
      </c>
      <c r="D7" s="106">
        <f t="shared" si="0"/>
        <v>31832</v>
      </c>
    </row>
    <row r="8" spans="1:4" ht="21.9" customHeight="1">
      <c r="A8" t="s">
        <v>1099</v>
      </c>
      <c r="B8">
        <v>2</v>
      </c>
      <c r="D8" s="106">
        <f t="shared" si="0"/>
        <v>0</v>
      </c>
    </row>
    <row r="9" spans="1:4" ht="21.9" customHeight="1">
      <c r="A9" t="s">
        <v>1100</v>
      </c>
      <c r="B9">
        <v>2</v>
      </c>
      <c r="C9">
        <v>325000</v>
      </c>
      <c r="D9" s="106">
        <f t="shared" si="0"/>
        <v>650000</v>
      </c>
    </row>
    <row r="10" spans="1:4" ht="21.9" customHeight="1">
      <c r="A10" t="s">
        <v>1101</v>
      </c>
      <c r="B10">
        <v>20</v>
      </c>
      <c r="C10">
        <v>3180000</v>
      </c>
      <c r="D10" s="106">
        <f t="shared" si="0"/>
        <v>63600000</v>
      </c>
    </row>
    <row r="11" spans="1:4" ht="21.9" customHeight="1">
      <c r="A11" t="s">
        <v>937</v>
      </c>
      <c r="B11">
        <v>30</v>
      </c>
      <c r="C11">
        <v>2050000</v>
      </c>
      <c r="D11" s="106">
        <f t="shared" si="0"/>
        <v>61500000</v>
      </c>
    </row>
    <row r="12" spans="1:4" ht="21.9" customHeight="1">
      <c r="A12" t="s">
        <v>1102</v>
      </c>
      <c r="B12">
        <v>100</v>
      </c>
      <c r="C12">
        <v>110050</v>
      </c>
      <c r="D12" s="106">
        <f t="shared" si="0"/>
        <v>11005000</v>
      </c>
    </row>
    <row r="13" spans="1:4" ht="21.9" customHeight="1">
      <c r="A13" t="s">
        <v>1103</v>
      </c>
      <c r="B13">
        <v>2</v>
      </c>
      <c r="C13">
        <v>250000</v>
      </c>
      <c r="D13" s="106">
        <f t="shared" si="0"/>
        <v>500000</v>
      </c>
    </row>
    <row r="14" spans="1:4" ht="21.9" customHeight="1">
      <c r="A14" t="s">
        <v>1104</v>
      </c>
      <c r="B14">
        <v>1</v>
      </c>
      <c r="C14">
        <v>150000</v>
      </c>
      <c r="D14" s="106">
        <f t="shared" si="0"/>
        <v>150000</v>
      </c>
    </row>
    <row r="15" spans="1:4" ht="21.9" customHeight="1">
      <c r="D15" s="306">
        <f>SUM(D3:D14)</f>
        <v>137458632</v>
      </c>
    </row>
    <row r="16" spans="1:4" ht="21.9" customHeight="1"/>
    <row r="17" ht="21.9" customHeight="1"/>
    <row r="18" ht="21.9" customHeight="1"/>
    <row r="19" ht="21.9" customHeight="1"/>
    <row r="20" ht="21.9" customHeight="1"/>
    <row r="21" ht="21.9" customHeight="1"/>
    <row r="22" ht="21.9" customHeight="1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4"/>
  <sheetViews>
    <sheetView topLeftCell="B1" zoomScale="80" zoomScaleNormal="80" workbookViewId="0">
      <selection activeCell="L28" sqref="L28"/>
    </sheetView>
  </sheetViews>
  <sheetFormatPr baseColWidth="10" defaultColWidth="11.44140625" defaultRowHeight="14.4"/>
  <cols>
    <col min="1" max="1" width="3.88671875" style="106" hidden="1" customWidth="1"/>
    <col min="2" max="2" width="11.33203125" style="106" customWidth="1"/>
    <col min="3" max="3" width="12.33203125" style="106" customWidth="1"/>
    <col min="4" max="4" width="16.5546875" style="106" customWidth="1"/>
    <col min="5" max="5" width="19.109375" style="106" customWidth="1"/>
    <col min="6" max="6" width="16.88671875" style="106" customWidth="1"/>
    <col min="7" max="7" width="12.5546875" style="106" customWidth="1"/>
    <col min="8" max="8" width="21.5546875" style="106" customWidth="1"/>
    <col min="9" max="9" width="19" style="106" customWidth="1"/>
    <col min="10" max="10" width="24.6640625" style="106" customWidth="1"/>
    <col min="11" max="11" width="17.6640625" style="106" customWidth="1"/>
    <col min="12" max="12" width="28.88671875" style="106" customWidth="1"/>
    <col min="13" max="16384" width="11.44140625" style="106"/>
  </cols>
  <sheetData>
    <row r="2" spans="1:14" s="307" customFormat="1" ht="23.4">
      <c r="A2" s="691" t="s">
        <v>1105</v>
      </c>
      <c r="B2" s="691"/>
      <c r="C2" s="691"/>
      <c r="D2" s="691"/>
      <c r="E2" s="691"/>
      <c r="F2" s="691"/>
      <c r="G2" s="691"/>
      <c r="H2" s="691"/>
      <c r="I2" s="691"/>
      <c r="J2" s="691"/>
    </row>
    <row r="3" spans="1:14" s="307" customFormat="1" ht="23.4">
      <c r="A3" s="308"/>
      <c r="B3" s="308"/>
      <c r="C3" s="308"/>
      <c r="D3" s="308"/>
      <c r="E3" s="308"/>
      <c r="F3" s="308"/>
      <c r="G3" s="308"/>
      <c r="H3" s="308"/>
      <c r="I3" s="308"/>
      <c r="J3" s="308"/>
    </row>
    <row r="4" spans="1:14" s="307" customFormat="1" ht="23.4">
      <c r="A4" s="691" t="s">
        <v>1106</v>
      </c>
      <c r="B4" s="691"/>
      <c r="C4" s="691"/>
      <c r="D4" s="691"/>
      <c r="E4" s="691"/>
      <c r="F4" s="691"/>
      <c r="G4" s="691"/>
      <c r="H4" s="691"/>
      <c r="I4" s="691"/>
      <c r="J4" s="691"/>
    </row>
    <row r="5" spans="1:14" s="307" customFormat="1" ht="24" thickBot="1">
      <c r="A5" s="308"/>
      <c r="B5" s="308"/>
      <c r="C5" s="308"/>
      <c r="D5" s="308"/>
      <c r="E5" s="308"/>
      <c r="F5" s="308"/>
      <c r="G5" s="308"/>
      <c r="H5" s="308"/>
      <c r="I5" s="308"/>
      <c r="J5" s="308"/>
    </row>
    <row r="6" spans="1:14" ht="21" customHeight="1" thickBot="1">
      <c r="A6" s="309"/>
      <c r="B6" s="310"/>
      <c r="C6" s="310"/>
      <c r="D6" s="308"/>
      <c r="E6" s="308"/>
      <c r="F6" s="308"/>
      <c r="G6" s="676" t="s">
        <v>1107</v>
      </c>
      <c r="H6" s="677"/>
      <c r="I6" s="677"/>
      <c r="J6" s="678"/>
    </row>
    <row r="7" spans="1:14" s="314" customFormat="1" ht="19.5" customHeight="1">
      <c r="A7" s="311"/>
      <c r="B7" s="692" t="s">
        <v>1108</v>
      </c>
      <c r="C7" s="694" t="s">
        <v>1109</v>
      </c>
      <c r="D7" s="695"/>
      <c r="E7" s="695"/>
      <c r="F7" s="696"/>
      <c r="G7" s="312" t="s">
        <v>1110</v>
      </c>
      <c r="H7" s="312" t="s">
        <v>1111</v>
      </c>
      <c r="I7" s="313" t="s">
        <v>1112</v>
      </c>
      <c r="J7" s="313" t="s">
        <v>1112</v>
      </c>
    </row>
    <row r="8" spans="1:14" s="319" customFormat="1" ht="21.6" thickBot="1">
      <c r="A8" s="315"/>
      <c r="B8" s="693"/>
      <c r="C8" s="697"/>
      <c r="D8" s="698"/>
      <c r="E8" s="698"/>
      <c r="F8" s="699"/>
      <c r="G8" s="316" t="s">
        <v>1113</v>
      </c>
      <c r="H8" s="316" t="s">
        <v>1113</v>
      </c>
      <c r="I8" s="317" t="s">
        <v>1114</v>
      </c>
      <c r="J8" s="317" t="s">
        <v>305</v>
      </c>
      <c r="K8" s="318"/>
      <c r="L8" s="318"/>
      <c r="N8" s="320"/>
    </row>
    <row r="9" spans="1:14" s="319" customFormat="1" ht="21.6" thickBot="1">
      <c r="A9" s="321"/>
      <c r="B9" s="322">
        <v>3</v>
      </c>
      <c r="C9" s="323" t="s">
        <v>1115</v>
      </c>
      <c r="D9" s="324" t="s">
        <v>1116</v>
      </c>
      <c r="E9" s="324" t="s">
        <v>1117</v>
      </c>
      <c r="F9" s="325" t="s">
        <v>1118</v>
      </c>
      <c r="G9" s="326">
        <v>24</v>
      </c>
      <c r="H9" s="327" t="s">
        <v>1119</v>
      </c>
      <c r="I9" s="328">
        <v>7500</v>
      </c>
      <c r="J9" s="329">
        <f>+I9*G9</f>
        <v>180000</v>
      </c>
      <c r="K9" s="318"/>
      <c r="L9" s="318"/>
      <c r="N9" s="320"/>
    </row>
    <row r="10" spans="1:14" s="319" customFormat="1" ht="21.6" thickBot="1">
      <c r="A10" s="321"/>
      <c r="B10" s="330">
        <v>1</v>
      </c>
      <c r="C10" s="331" t="s">
        <v>1120</v>
      </c>
      <c r="D10" s="332" t="s">
        <v>1121</v>
      </c>
      <c r="E10" s="332" t="s">
        <v>1117</v>
      </c>
      <c r="F10" s="333">
        <v>1998</v>
      </c>
      <c r="G10" s="326">
        <v>8</v>
      </c>
      <c r="H10" s="327" t="s">
        <v>1122</v>
      </c>
      <c r="I10" s="328">
        <v>5995</v>
      </c>
      <c r="J10" s="329">
        <f t="shared" ref="J10:J19" si="0">+I10*G10</f>
        <v>47960</v>
      </c>
      <c r="K10" s="318"/>
      <c r="L10" s="318"/>
      <c r="N10" s="320"/>
    </row>
    <row r="11" spans="1:14" s="336" customFormat="1" ht="18.600000000000001" thickBot="1">
      <c r="A11" s="321"/>
      <c r="B11" s="330">
        <v>3</v>
      </c>
      <c r="C11" s="331" t="s">
        <v>1123</v>
      </c>
      <c r="D11" s="332" t="s">
        <v>1124</v>
      </c>
      <c r="E11" s="332" t="s">
        <v>1117</v>
      </c>
      <c r="F11" s="333">
        <v>2007</v>
      </c>
      <c r="G11" s="326">
        <v>24</v>
      </c>
      <c r="H11" s="327" t="s">
        <v>1125</v>
      </c>
      <c r="I11" s="328">
        <v>5650</v>
      </c>
      <c r="J11" s="329">
        <f t="shared" si="0"/>
        <v>135600</v>
      </c>
      <c r="K11" s="334"/>
      <c r="L11" s="335"/>
      <c r="N11" s="320"/>
    </row>
    <row r="12" spans="1:14" s="336" customFormat="1" ht="21.6" thickBot="1">
      <c r="A12" s="321"/>
      <c r="B12" s="337">
        <v>1</v>
      </c>
      <c r="C12" s="338" t="s">
        <v>1126</v>
      </c>
      <c r="D12" s="339" t="s">
        <v>1127</v>
      </c>
      <c r="E12" s="339" t="s">
        <v>1117</v>
      </c>
      <c r="F12" s="340">
        <v>2001</v>
      </c>
      <c r="G12" s="326">
        <v>8</v>
      </c>
      <c r="H12" s="327" t="s">
        <v>1128</v>
      </c>
      <c r="I12" s="328">
        <v>6995</v>
      </c>
      <c r="J12" s="329">
        <f t="shared" si="0"/>
        <v>55960</v>
      </c>
      <c r="K12" s="334"/>
      <c r="L12" s="334"/>
      <c r="N12" s="320"/>
    </row>
    <row r="13" spans="1:14" s="336" customFormat="1" ht="18.600000000000001" thickBot="1">
      <c r="A13" s="321"/>
      <c r="B13" s="330">
        <v>1</v>
      </c>
      <c r="C13" s="331" t="s">
        <v>1129</v>
      </c>
      <c r="D13" s="332" t="s">
        <v>1130</v>
      </c>
      <c r="E13" s="332" t="s">
        <v>1117</v>
      </c>
      <c r="F13" s="333">
        <v>2002</v>
      </c>
      <c r="G13" s="326">
        <v>8</v>
      </c>
      <c r="H13" s="327" t="s">
        <v>1128</v>
      </c>
      <c r="I13" s="328">
        <v>6995</v>
      </c>
      <c r="J13" s="329">
        <f t="shared" si="0"/>
        <v>55960</v>
      </c>
      <c r="K13" s="334"/>
      <c r="L13" s="334"/>
      <c r="N13" s="341"/>
    </row>
    <row r="14" spans="1:14" s="336" customFormat="1" ht="18.600000000000001" thickBot="1">
      <c r="A14" s="321"/>
      <c r="B14" s="330">
        <v>8</v>
      </c>
      <c r="C14" s="331" t="s">
        <v>1131</v>
      </c>
      <c r="D14" s="332" t="s">
        <v>1132</v>
      </c>
      <c r="E14" s="332" t="s">
        <v>1117</v>
      </c>
      <c r="F14" s="333">
        <v>2002</v>
      </c>
      <c r="G14" s="326">
        <v>64</v>
      </c>
      <c r="H14" s="327" t="s">
        <v>1133</v>
      </c>
      <c r="I14" s="328">
        <v>4725</v>
      </c>
      <c r="J14" s="329">
        <f>+I14*G14</f>
        <v>302400</v>
      </c>
      <c r="K14" s="334"/>
      <c r="L14" s="334"/>
      <c r="N14" s="341"/>
    </row>
    <row r="15" spans="1:14" s="336" customFormat="1" ht="21.6" thickBot="1">
      <c r="A15" s="321"/>
      <c r="B15" s="337">
        <v>1</v>
      </c>
      <c r="C15" s="338" t="s">
        <v>1134</v>
      </c>
      <c r="D15" s="332" t="s">
        <v>1135</v>
      </c>
      <c r="E15" s="339" t="s">
        <v>1117</v>
      </c>
      <c r="F15" s="340">
        <v>2005</v>
      </c>
      <c r="G15" s="326">
        <v>8</v>
      </c>
      <c r="H15" s="327" t="s">
        <v>1119</v>
      </c>
      <c r="I15" s="328">
        <v>7500</v>
      </c>
      <c r="J15" s="329">
        <f t="shared" si="0"/>
        <v>60000</v>
      </c>
      <c r="K15" s="334"/>
      <c r="L15" s="334"/>
      <c r="N15" s="320"/>
    </row>
    <row r="16" spans="1:14" s="336" customFormat="1" ht="21.6" thickBot="1">
      <c r="A16" s="321"/>
      <c r="B16" s="337">
        <v>1</v>
      </c>
      <c r="C16" s="338" t="s">
        <v>1136</v>
      </c>
      <c r="D16" s="332" t="s">
        <v>1137</v>
      </c>
      <c r="E16" s="332" t="s">
        <v>1117</v>
      </c>
      <c r="F16" s="340">
        <v>1999</v>
      </c>
      <c r="G16" s="326">
        <v>8</v>
      </c>
      <c r="H16" s="327" t="s">
        <v>1138</v>
      </c>
      <c r="I16" s="328">
        <v>5050</v>
      </c>
      <c r="J16" s="329">
        <f t="shared" si="0"/>
        <v>40400</v>
      </c>
      <c r="K16" s="334"/>
      <c r="L16" s="334"/>
      <c r="N16" s="320"/>
    </row>
    <row r="17" spans="1:14" s="336" customFormat="1" ht="21.6" thickBot="1">
      <c r="A17" s="321"/>
      <c r="B17" s="337">
        <v>1</v>
      </c>
      <c r="C17" s="338" t="s">
        <v>1134</v>
      </c>
      <c r="D17" s="332" t="s">
        <v>1139</v>
      </c>
      <c r="E17" s="332" t="s">
        <v>1117</v>
      </c>
      <c r="F17" s="340">
        <v>2002</v>
      </c>
      <c r="G17" s="326">
        <v>8</v>
      </c>
      <c r="H17" s="327" t="s">
        <v>1133</v>
      </c>
      <c r="I17" s="328">
        <v>4725</v>
      </c>
      <c r="J17" s="329">
        <f t="shared" si="0"/>
        <v>37800</v>
      </c>
      <c r="K17" s="334"/>
      <c r="L17" s="334"/>
      <c r="N17" s="341"/>
    </row>
    <row r="18" spans="1:14" s="336" customFormat="1" ht="18.600000000000001" thickBot="1">
      <c r="A18" s="321"/>
      <c r="B18" s="342">
        <v>3</v>
      </c>
      <c r="C18" s="343" t="s">
        <v>1140</v>
      </c>
      <c r="D18" s="344" t="s">
        <v>1141</v>
      </c>
      <c r="E18" s="344" t="s">
        <v>1117</v>
      </c>
      <c r="F18" s="345">
        <v>2007</v>
      </c>
      <c r="G18" s="326">
        <v>24</v>
      </c>
      <c r="H18" s="346" t="s">
        <v>1142</v>
      </c>
      <c r="I18" s="347">
        <v>7050</v>
      </c>
      <c r="J18" s="329">
        <f t="shared" si="0"/>
        <v>169200</v>
      </c>
      <c r="K18" s="334"/>
      <c r="L18" s="334"/>
      <c r="N18" s="341"/>
    </row>
    <row r="19" spans="1:14" s="319" customFormat="1" ht="18.600000000000001" thickBot="1">
      <c r="A19" s="321"/>
      <c r="B19" s="342">
        <v>5</v>
      </c>
      <c r="C19" s="343" t="s">
        <v>1143</v>
      </c>
      <c r="D19" s="344"/>
      <c r="E19" s="344"/>
      <c r="F19" s="345"/>
      <c r="G19" s="326">
        <v>20</v>
      </c>
      <c r="H19" s="327" t="s">
        <v>1133</v>
      </c>
      <c r="I19" s="348">
        <v>4725</v>
      </c>
      <c r="J19" s="329">
        <f t="shared" si="0"/>
        <v>94500</v>
      </c>
      <c r="K19" s="334"/>
      <c r="L19" s="334"/>
      <c r="N19" s="320"/>
    </row>
    <row r="20" spans="1:14" s="319" customFormat="1" ht="18">
      <c r="A20" s="321"/>
      <c r="C20" s="320"/>
      <c r="D20" s="334"/>
      <c r="E20" s="334"/>
      <c r="F20" s="349" t="s">
        <v>305</v>
      </c>
      <c r="G20" s="350">
        <f>SUM(G9:G19)</f>
        <v>204</v>
      </c>
      <c r="H20" s="334"/>
      <c r="I20" s="349"/>
      <c r="J20" s="351">
        <f>SUM(J9:J19)</f>
        <v>1179780</v>
      </c>
      <c r="K20" s="334"/>
      <c r="L20" s="334"/>
    </row>
    <row r="21" spans="1:14" s="319" customFormat="1" ht="18">
      <c r="C21" s="334"/>
      <c r="D21" s="334"/>
      <c r="E21" s="334"/>
      <c r="F21" s="334"/>
      <c r="G21" s="349"/>
      <c r="H21" s="349"/>
      <c r="I21" s="349"/>
      <c r="K21" s="334"/>
      <c r="L21" s="334"/>
    </row>
    <row r="22" spans="1:14" s="319" customFormat="1" ht="18.600000000000001" thickBot="1">
      <c r="C22" s="334"/>
      <c r="D22" s="334"/>
      <c r="E22" s="334"/>
      <c r="F22" s="334"/>
      <c r="G22" s="349"/>
      <c r="H22" s="349"/>
      <c r="I22" s="349"/>
      <c r="K22" s="334"/>
      <c r="L22" s="334"/>
    </row>
    <row r="23" spans="1:14" s="319" customFormat="1" ht="24" thickBot="1">
      <c r="C23" s="334"/>
      <c r="D23" s="334"/>
      <c r="E23" s="334"/>
      <c r="F23" s="334"/>
      <c r="G23" s="676" t="s">
        <v>1107</v>
      </c>
      <c r="H23" s="677"/>
      <c r="I23" s="677"/>
      <c r="J23" s="677"/>
      <c r="K23" s="334"/>
      <c r="L23" s="334"/>
    </row>
    <row r="24" spans="1:14" s="87" customFormat="1" ht="21.6" thickBot="1">
      <c r="A24" s="319"/>
      <c r="B24" s="319"/>
      <c r="C24" s="334"/>
      <c r="D24" s="334"/>
      <c r="E24" s="334"/>
      <c r="F24" s="334"/>
      <c r="G24" s="312" t="s">
        <v>1110</v>
      </c>
      <c r="H24" s="313" t="s">
        <v>1111</v>
      </c>
      <c r="I24" s="313" t="s">
        <v>1112</v>
      </c>
      <c r="J24" s="313" t="s">
        <v>1112</v>
      </c>
    </row>
    <row r="25" spans="1:14" s="336" customFormat="1" ht="21.6" thickBot="1">
      <c r="A25" s="87"/>
      <c r="B25" s="352" t="s">
        <v>308</v>
      </c>
      <c r="C25" s="353" t="s">
        <v>1144</v>
      </c>
      <c r="D25" s="354" t="s">
        <v>1145</v>
      </c>
      <c r="E25" s="354" t="s">
        <v>1146</v>
      </c>
      <c r="F25" s="354" t="s">
        <v>1147</v>
      </c>
      <c r="G25" s="316" t="s">
        <v>1113</v>
      </c>
      <c r="H25" s="317" t="s">
        <v>1113</v>
      </c>
      <c r="I25" s="317" t="s">
        <v>1114</v>
      </c>
      <c r="J25" s="317" t="s">
        <v>305</v>
      </c>
      <c r="K25" s="334"/>
    </row>
    <row r="26" spans="1:14" s="336" customFormat="1" ht="18.600000000000001" thickBot="1">
      <c r="B26" s="355">
        <v>7</v>
      </c>
      <c r="C26" s="356" t="s">
        <v>1131</v>
      </c>
      <c r="D26" s="357" t="s">
        <v>1148</v>
      </c>
      <c r="E26" s="357" t="s">
        <v>1149</v>
      </c>
      <c r="F26" s="357">
        <v>2002</v>
      </c>
      <c r="G26" s="326">
        <v>84</v>
      </c>
      <c r="H26" s="358" t="s">
        <v>1150</v>
      </c>
      <c r="I26" s="359">
        <v>2600</v>
      </c>
      <c r="J26" s="329">
        <f>+I26*G26</f>
        <v>218400</v>
      </c>
      <c r="K26" s="334"/>
    </row>
    <row r="27" spans="1:14" s="336" customFormat="1" ht="18.600000000000001" thickBot="1">
      <c r="B27" s="360">
        <v>10</v>
      </c>
      <c r="C27" s="361" t="s">
        <v>1151</v>
      </c>
      <c r="D27" s="362" t="s">
        <v>1152</v>
      </c>
      <c r="E27" s="362" t="s">
        <v>1149</v>
      </c>
      <c r="F27" s="362">
        <v>2014</v>
      </c>
      <c r="G27" s="326">
        <v>120</v>
      </c>
      <c r="H27" s="363" t="s">
        <v>1153</v>
      </c>
      <c r="I27" s="364">
        <v>7050</v>
      </c>
      <c r="J27" s="495">
        <f t="shared" ref="J27:J30" si="1">+I27*G27</f>
        <v>846000</v>
      </c>
      <c r="K27" s="334"/>
    </row>
    <row r="28" spans="1:14" s="336" customFormat="1" ht="18.600000000000001" thickBot="1">
      <c r="B28" s="360">
        <v>18</v>
      </c>
      <c r="C28" s="365" t="s">
        <v>1154</v>
      </c>
      <c r="D28" s="362" t="s">
        <v>1155</v>
      </c>
      <c r="E28" s="362" t="s">
        <v>1149</v>
      </c>
      <c r="F28" s="362" t="s">
        <v>1156</v>
      </c>
      <c r="G28" s="326">
        <v>240</v>
      </c>
      <c r="H28" s="363" t="s">
        <v>1157</v>
      </c>
      <c r="I28" s="364">
        <v>7000</v>
      </c>
      <c r="J28" s="495">
        <f t="shared" si="1"/>
        <v>1680000</v>
      </c>
      <c r="K28" s="334"/>
    </row>
    <row r="29" spans="1:14" s="336" customFormat="1" ht="18.600000000000001" thickBot="1">
      <c r="B29" s="360">
        <v>2</v>
      </c>
      <c r="C29" s="365" t="s">
        <v>1158</v>
      </c>
      <c r="D29" s="362" t="s">
        <v>1159</v>
      </c>
      <c r="E29" s="362" t="s">
        <v>1160</v>
      </c>
      <c r="F29" s="362">
        <v>2016</v>
      </c>
      <c r="G29" s="326">
        <v>24</v>
      </c>
      <c r="H29" s="363" t="s">
        <v>1161</v>
      </c>
      <c r="I29" s="364">
        <v>16000</v>
      </c>
      <c r="J29" s="495">
        <f t="shared" si="1"/>
        <v>384000</v>
      </c>
      <c r="K29" s="334"/>
    </row>
    <row r="30" spans="1:14" s="336" customFormat="1" ht="18.600000000000001" thickBot="1">
      <c r="B30" s="366">
        <v>1</v>
      </c>
      <c r="C30" s="367" t="s">
        <v>1131</v>
      </c>
      <c r="D30" s="368" t="s">
        <v>1148</v>
      </c>
      <c r="E30" s="368" t="s">
        <v>1160</v>
      </c>
      <c r="F30" s="368">
        <v>2002</v>
      </c>
      <c r="G30" s="326">
        <v>12</v>
      </c>
      <c r="H30" s="327" t="s">
        <v>1162</v>
      </c>
      <c r="I30" s="328">
        <v>4500</v>
      </c>
      <c r="J30" s="495">
        <f t="shared" si="1"/>
        <v>54000</v>
      </c>
    </row>
    <row r="31" spans="1:14" s="336" customFormat="1" ht="18">
      <c r="C31" s="334"/>
      <c r="D31" s="334"/>
      <c r="E31" s="334"/>
      <c r="F31" s="349" t="s">
        <v>305</v>
      </c>
      <c r="G31" s="369">
        <f>SUM(G26:G30)</f>
        <v>480</v>
      </c>
      <c r="H31" s="334"/>
      <c r="J31" s="370">
        <f>SUM(J26:J30)</f>
        <v>3182400</v>
      </c>
    </row>
    <row r="32" spans="1:14" s="319" customFormat="1" ht="18.600000000000001" thickBot="1">
      <c r="A32" s="336"/>
      <c r="C32" s="334"/>
      <c r="D32" s="334"/>
      <c r="E32" s="334"/>
      <c r="F32" s="334"/>
      <c r="G32" s="349"/>
      <c r="H32" s="349"/>
      <c r="I32" s="349"/>
    </row>
    <row r="33" spans="1:10" s="319" customFormat="1" ht="24" thickBot="1">
      <c r="C33" s="334"/>
      <c r="D33" s="334"/>
      <c r="E33" s="688"/>
      <c r="F33" s="689"/>
      <c r="G33" s="676" t="s">
        <v>1107</v>
      </c>
      <c r="H33" s="677"/>
      <c r="I33" s="677"/>
      <c r="J33" s="678"/>
    </row>
    <row r="34" spans="1:10" s="319" customFormat="1" ht="21.6" thickBot="1">
      <c r="C34" s="334"/>
      <c r="D34" s="334"/>
      <c r="E34" s="334"/>
      <c r="F34" s="334"/>
      <c r="G34" s="312" t="s">
        <v>1110</v>
      </c>
      <c r="H34" s="313" t="s">
        <v>1111</v>
      </c>
      <c r="I34" s="313" t="s">
        <v>1112</v>
      </c>
      <c r="J34" s="371" t="s">
        <v>1112</v>
      </c>
    </row>
    <row r="35" spans="1:10" s="336" customFormat="1" ht="21.6" thickBot="1">
      <c r="A35" s="319"/>
      <c r="B35" s="352" t="s">
        <v>308</v>
      </c>
      <c r="C35" s="353" t="s">
        <v>1144</v>
      </c>
      <c r="D35" s="354" t="s">
        <v>1145</v>
      </c>
      <c r="E35" s="354" t="s">
        <v>1146</v>
      </c>
      <c r="F35" s="354" t="s">
        <v>1147</v>
      </c>
      <c r="G35" s="316" t="s">
        <v>1113</v>
      </c>
      <c r="H35" s="317" t="s">
        <v>1113</v>
      </c>
      <c r="I35" s="317" t="s">
        <v>1114</v>
      </c>
      <c r="J35" s="372" t="s">
        <v>305</v>
      </c>
    </row>
    <row r="36" spans="1:10" s="336" customFormat="1" ht="21.6" thickBot="1">
      <c r="B36" s="373">
        <v>4</v>
      </c>
      <c r="C36" s="374" t="s">
        <v>1131</v>
      </c>
      <c r="D36" s="375" t="s">
        <v>1148</v>
      </c>
      <c r="E36" s="375" t="s">
        <v>1163</v>
      </c>
      <c r="F36" s="375">
        <v>2002</v>
      </c>
      <c r="G36" s="376">
        <v>54</v>
      </c>
      <c r="H36" s="358" t="s">
        <v>1164</v>
      </c>
      <c r="I36" s="359">
        <v>2600</v>
      </c>
      <c r="J36" s="377">
        <f>+G36*I36</f>
        <v>140400</v>
      </c>
    </row>
    <row r="37" spans="1:10" s="336" customFormat="1" ht="18">
      <c r="C37" s="334"/>
      <c r="D37" s="334"/>
      <c r="E37" s="334"/>
      <c r="F37" s="349" t="s">
        <v>305</v>
      </c>
      <c r="G37" s="378">
        <f>SUM(G36)</f>
        <v>54</v>
      </c>
      <c r="H37" s="334"/>
      <c r="J37" s="379">
        <f>SUM(J36)</f>
        <v>140400</v>
      </c>
    </row>
    <row r="38" spans="1:10" s="319" customFormat="1" ht="18.600000000000001" thickBot="1">
      <c r="A38" s="336"/>
      <c r="B38" s="336"/>
      <c r="C38" s="334"/>
      <c r="D38" s="334"/>
      <c r="E38" s="334"/>
      <c r="F38" s="334"/>
      <c r="G38" s="334"/>
      <c r="H38" s="334"/>
      <c r="I38" s="336"/>
      <c r="J38" s="336"/>
    </row>
    <row r="39" spans="1:10" s="319" customFormat="1" ht="24" thickBot="1">
      <c r="C39" s="334"/>
      <c r="D39" s="334"/>
      <c r="E39" s="334"/>
      <c r="F39" s="334"/>
      <c r="G39" s="676" t="s">
        <v>1107</v>
      </c>
      <c r="H39" s="677"/>
      <c r="I39" s="677"/>
      <c r="J39" s="678"/>
    </row>
    <row r="40" spans="1:10" s="319" customFormat="1" ht="21.6" thickBot="1">
      <c r="C40" s="334"/>
      <c r="D40" s="334"/>
      <c r="E40" s="334"/>
      <c r="F40" s="334"/>
      <c r="G40" s="312" t="s">
        <v>1110</v>
      </c>
      <c r="H40" s="313" t="s">
        <v>1111</v>
      </c>
      <c r="I40" s="313" t="s">
        <v>1112</v>
      </c>
      <c r="J40" s="371" t="s">
        <v>1112</v>
      </c>
    </row>
    <row r="41" spans="1:10" s="336" customFormat="1" ht="21.6" thickBot="1">
      <c r="A41" s="319"/>
      <c r="B41" s="352" t="s">
        <v>308</v>
      </c>
      <c r="C41" s="353" t="s">
        <v>1144</v>
      </c>
      <c r="D41" s="354" t="s">
        <v>1145</v>
      </c>
      <c r="E41" s="354" t="s">
        <v>1146</v>
      </c>
      <c r="F41" s="354" t="s">
        <v>1147</v>
      </c>
      <c r="G41" s="380" t="s">
        <v>1113</v>
      </c>
      <c r="H41" s="381" t="s">
        <v>1113</v>
      </c>
      <c r="I41" s="381" t="s">
        <v>1114</v>
      </c>
      <c r="J41" s="382" t="s">
        <v>305</v>
      </c>
    </row>
    <row r="42" spans="1:10" s="336" customFormat="1" ht="21.6" thickBot="1">
      <c r="B42" s="383">
        <v>2</v>
      </c>
      <c r="C42" s="384" t="s">
        <v>1131</v>
      </c>
      <c r="D42" s="385" t="s">
        <v>1165</v>
      </c>
      <c r="E42" s="385" t="s">
        <v>1166</v>
      </c>
      <c r="F42" s="386">
        <v>2002</v>
      </c>
      <c r="G42" s="387">
        <v>24</v>
      </c>
      <c r="H42" s="388" t="s">
        <v>1164</v>
      </c>
      <c r="I42" s="328">
        <v>4550</v>
      </c>
      <c r="J42" s="389">
        <f>+I42*G42</f>
        <v>109200</v>
      </c>
    </row>
    <row r="43" spans="1:10" s="336" customFormat="1" ht="21.6" thickBot="1">
      <c r="B43" s="373">
        <v>1</v>
      </c>
      <c r="C43" s="367" t="s">
        <v>1131</v>
      </c>
      <c r="D43" s="375" t="s">
        <v>1167</v>
      </c>
      <c r="E43" s="375" t="s">
        <v>1166</v>
      </c>
      <c r="F43" s="390">
        <v>2002</v>
      </c>
      <c r="G43" s="387">
        <v>12</v>
      </c>
      <c r="H43" s="388" t="s">
        <v>1168</v>
      </c>
      <c r="I43" s="328">
        <v>4500</v>
      </c>
      <c r="J43" s="389">
        <f>+I43*G43</f>
        <v>54000</v>
      </c>
    </row>
    <row r="44" spans="1:10" s="336" customFormat="1" ht="21.6" thickBot="1">
      <c r="B44" s="373">
        <v>2</v>
      </c>
      <c r="C44" s="374" t="s">
        <v>1123</v>
      </c>
      <c r="D44" s="375" t="s">
        <v>1169</v>
      </c>
      <c r="E44" s="375" t="s">
        <v>1166</v>
      </c>
      <c r="F44" s="390">
        <v>2016</v>
      </c>
      <c r="G44" s="387">
        <v>24</v>
      </c>
      <c r="H44" s="388" t="s">
        <v>1170</v>
      </c>
      <c r="I44" s="328">
        <v>4900</v>
      </c>
      <c r="J44" s="389">
        <f t="shared" ref="J44:J45" si="2">+I44*G44</f>
        <v>117600</v>
      </c>
    </row>
    <row r="45" spans="1:10" s="336" customFormat="1" ht="21.6" thickBot="1">
      <c r="B45" s="373">
        <v>1</v>
      </c>
      <c r="C45" s="374" t="s">
        <v>1154</v>
      </c>
      <c r="D45" s="375" t="s">
        <v>1171</v>
      </c>
      <c r="E45" s="375" t="s">
        <v>1166</v>
      </c>
      <c r="F45" s="390">
        <v>2017</v>
      </c>
      <c r="G45" s="387">
        <v>12</v>
      </c>
      <c r="H45" s="388" t="s">
        <v>1170</v>
      </c>
      <c r="I45" s="328">
        <v>4900</v>
      </c>
      <c r="J45" s="389">
        <f t="shared" si="2"/>
        <v>58800</v>
      </c>
    </row>
    <row r="46" spans="1:10" s="336" customFormat="1" ht="21">
      <c r="C46" s="334"/>
      <c r="D46" s="334"/>
      <c r="E46" s="334"/>
      <c r="F46" s="349" t="s">
        <v>305</v>
      </c>
      <c r="G46" s="369">
        <f>SUM(G42:G45)</f>
        <v>72</v>
      </c>
      <c r="H46" s="334"/>
      <c r="J46" s="391">
        <f>SUM(J42:J45)</f>
        <v>339600</v>
      </c>
    </row>
    <row r="47" spans="1:10" s="336" customFormat="1" ht="18">
      <c r="C47" s="334"/>
      <c r="E47" s="334"/>
      <c r="F47" s="334"/>
      <c r="G47" s="334"/>
      <c r="H47" s="334"/>
    </row>
    <row r="48" spans="1:10" s="319" customFormat="1" ht="18.600000000000001" thickBot="1">
      <c r="A48" s="336"/>
      <c r="B48" s="336"/>
      <c r="C48" s="334"/>
      <c r="D48" s="334"/>
      <c r="E48" s="334"/>
      <c r="F48" s="334"/>
      <c r="G48" s="334"/>
      <c r="H48" s="334"/>
      <c r="I48" s="336"/>
      <c r="J48" s="336"/>
    </row>
    <row r="49" spans="1:11" s="319" customFormat="1" ht="24" thickBot="1">
      <c r="C49" s="334"/>
      <c r="D49" s="334"/>
      <c r="E49" s="334"/>
      <c r="F49" s="334"/>
      <c r="G49" s="676" t="s">
        <v>1107</v>
      </c>
      <c r="H49" s="677"/>
      <c r="I49" s="677"/>
      <c r="J49" s="678"/>
    </row>
    <row r="50" spans="1:11" s="87" customFormat="1" ht="21.6" thickBot="1">
      <c r="A50" s="319"/>
      <c r="B50" s="319"/>
      <c r="C50" s="334"/>
      <c r="D50" s="334"/>
      <c r="E50" s="334"/>
      <c r="F50" s="334"/>
      <c r="G50" s="312" t="s">
        <v>1110</v>
      </c>
      <c r="H50" s="313" t="s">
        <v>1111</v>
      </c>
      <c r="I50" s="313" t="s">
        <v>1112</v>
      </c>
      <c r="J50" s="371" t="s">
        <v>1112</v>
      </c>
    </row>
    <row r="51" spans="1:11" s="87" customFormat="1" ht="21.6" thickBot="1">
      <c r="B51" s="352" t="s">
        <v>308</v>
      </c>
      <c r="C51" s="353" t="s">
        <v>1144</v>
      </c>
      <c r="D51" s="354" t="s">
        <v>1145</v>
      </c>
      <c r="E51" s="354" t="s">
        <v>1146</v>
      </c>
      <c r="F51" s="354" t="s">
        <v>1147</v>
      </c>
      <c r="G51" s="380" t="s">
        <v>1113</v>
      </c>
      <c r="H51" s="381" t="s">
        <v>1113</v>
      </c>
      <c r="I51" s="381" t="s">
        <v>1114</v>
      </c>
      <c r="J51" s="382" t="s">
        <v>305</v>
      </c>
      <c r="K51" s="314"/>
    </row>
    <row r="52" spans="1:11" s="87" customFormat="1" ht="21">
      <c r="B52" s="392">
        <v>1</v>
      </c>
      <c r="C52" s="393" t="s">
        <v>1172</v>
      </c>
      <c r="D52" s="394" t="s">
        <v>1173</v>
      </c>
      <c r="E52" s="395" t="s">
        <v>1174</v>
      </c>
      <c r="F52" s="394">
        <v>2012</v>
      </c>
      <c r="G52" s="388">
        <v>8</v>
      </c>
      <c r="H52" s="388" t="s">
        <v>1164</v>
      </c>
      <c r="I52" s="328">
        <v>4550</v>
      </c>
      <c r="J52" s="389">
        <f>+I52*G52</f>
        <v>36400</v>
      </c>
      <c r="K52" s="334"/>
    </row>
    <row r="53" spans="1:11" s="87" customFormat="1" ht="21">
      <c r="B53" s="392">
        <v>38</v>
      </c>
      <c r="C53" s="393" t="s">
        <v>1131</v>
      </c>
      <c r="D53" s="394" t="s">
        <v>1175</v>
      </c>
      <c r="E53" s="395" t="s">
        <v>1174</v>
      </c>
      <c r="F53" s="394" t="s">
        <v>1176</v>
      </c>
      <c r="G53" s="388">
        <v>304</v>
      </c>
      <c r="H53" s="388" t="s">
        <v>1164</v>
      </c>
      <c r="I53" s="328">
        <v>4550</v>
      </c>
      <c r="J53" s="389">
        <f t="shared" ref="J53:J58" si="3">+I53*G53</f>
        <v>1383200</v>
      </c>
    </row>
    <row r="54" spans="1:11" s="87" customFormat="1" ht="21">
      <c r="B54" s="392">
        <v>1</v>
      </c>
      <c r="C54" s="393" t="s">
        <v>1177</v>
      </c>
      <c r="D54" s="394" t="s">
        <v>1178</v>
      </c>
      <c r="E54" s="395" t="s">
        <v>1174</v>
      </c>
      <c r="F54" s="394">
        <v>2007</v>
      </c>
      <c r="G54" s="388">
        <v>8</v>
      </c>
      <c r="H54" s="388" t="s">
        <v>1122</v>
      </c>
      <c r="I54" s="328">
        <v>5995</v>
      </c>
      <c r="J54" s="389">
        <f t="shared" si="3"/>
        <v>47960</v>
      </c>
    </row>
    <row r="55" spans="1:11" s="87" customFormat="1" ht="21">
      <c r="B55" s="396">
        <v>10</v>
      </c>
      <c r="C55" s="397" t="s">
        <v>1179</v>
      </c>
      <c r="D55" s="398" t="s">
        <v>1180</v>
      </c>
      <c r="E55" s="395" t="s">
        <v>1174</v>
      </c>
      <c r="F55" s="398">
        <v>2018</v>
      </c>
      <c r="G55" s="388">
        <v>80</v>
      </c>
      <c r="H55" s="388" t="s">
        <v>1181</v>
      </c>
      <c r="I55" s="328">
        <v>9600</v>
      </c>
      <c r="J55" s="389">
        <f t="shared" si="3"/>
        <v>768000</v>
      </c>
    </row>
    <row r="56" spans="1:11" s="87" customFormat="1" ht="21">
      <c r="B56" s="396">
        <v>5</v>
      </c>
      <c r="C56" s="397" t="s">
        <v>1182</v>
      </c>
      <c r="D56" s="398"/>
      <c r="E56" s="395" t="s">
        <v>1174</v>
      </c>
      <c r="F56" s="398">
        <v>2012</v>
      </c>
      <c r="G56" s="388">
        <v>40</v>
      </c>
      <c r="H56" s="388" t="s">
        <v>1164</v>
      </c>
      <c r="I56" s="328">
        <v>4550</v>
      </c>
      <c r="J56" s="389">
        <f t="shared" si="3"/>
        <v>182000</v>
      </c>
    </row>
    <row r="57" spans="1:11" s="87" customFormat="1" ht="21">
      <c r="B57" s="396">
        <v>16</v>
      </c>
      <c r="C57" s="397" t="s">
        <v>1126</v>
      </c>
      <c r="D57" s="398" t="s">
        <v>1183</v>
      </c>
      <c r="E57" s="395" t="s">
        <v>1174</v>
      </c>
      <c r="F57" s="398" t="s">
        <v>1184</v>
      </c>
      <c r="G57" s="388">
        <v>134</v>
      </c>
      <c r="H57" s="388" t="s">
        <v>1164</v>
      </c>
      <c r="I57" s="328">
        <v>4550</v>
      </c>
      <c r="J57" s="389">
        <f t="shared" si="3"/>
        <v>609700</v>
      </c>
    </row>
    <row r="58" spans="1:11" s="87" customFormat="1" ht="21.6" thickBot="1">
      <c r="B58" s="399">
        <v>38</v>
      </c>
      <c r="C58" s="400" t="s">
        <v>1185</v>
      </c>
      <c r="D58" s="401" t="s">
        <v>1186</v>
      </c>
      <c r="E58" s="402" t="s">
        <v>1174</v>
      </c>
      <c r="F58" s="401" t="s">
        <v>1187</v>
      </c>
      <c r="G58" s="388">
        <v>304</v>
      </c>
      <c r="H58" s="388" t="s">
        <v>1188</v>
      </c>
      <c r="I58" s="328">
        <v>5500</v>
      </c>
      <c r="J58" s="389">
        <f t="shared" si="3"/>
        <v>1672000</v>
      </c>
    </row>
    <row r="59" spans="1:11" s="87" customFormat="1" ht="18">
      <c r="B59" s="403"/>
      <c r="C59" s="404"/>
      <c r="D59" s="404"/>
      <c r="E59" s="405"/>
      <c r="F59" s="349" t="s">
        <v>305</v>
      </c>
      <c r="G59" s="378">
        <f>SUM(G52:G58)</f>
        <v>878</v>
      </c>
      <c r="H59" s="334"/>
      <c r="J59" s="379">
        <f>SUM(J52:J58)</f>
        <v>4699260</v>
      </c>
    </row>
    <row r="60" spans="1:11" s="87" customFormat="1" ht="18.600000000000001" thickBot="1">
      <c r="B60" s="403"/>
      <c r="C60" s="404"/>
      <c r="D60" s="404"/>
      <c r="E60" s="405"/>
      <c r="F60" s="404"/>
      <c r="G60" s="349"/>
      <c r="H60" s="334"/>
    </row>
    <row r="61" spans="1:11" s="87" customFormat="1" ht="24" thickBot="1">
      <c r="B61" s="314"/>
      <c r="C61" s="334"/>
      <c r="D61" s="334"/>
      <c r="E61" s="406"/>
      <c r="F61" s="334"/>
      <c r="G61" s="676" t="s">
        <v>1107</v>
      </c>
      <c r="H61" s="677"/>
      <c r="I61" s="677"/>
      <c r="J61" s="678"/>
    </row>
    <row r="62" spans="1:11" s="87" customFormat="1" ht="21.6" thickBot="1">
      <c r="B62" s="314"/>
      <c r="C62" s="334"/>
      <c r="D62" s="334"/>
      <c r="E62" s="406"/>
      <c r="F62" s="334"/>
      <c r="G62" s="312" t="s">
        <v>1110</v>
      </c>
      <c r="H62" s="313" t="s">
        <v>1111</v>
      </c>
      <c r="I62" s="313" t="s">
        <v>1112</v>
      </c>
      <c r="J62" s="371" t="s">
        <v>1112</v>
      </c>
    </row>
    <row r="63" spans="1:11" s="87" customFormat="1" ht="21.6" thickBot="1">
      <c r="B63" s="352" t="s">
        <v>308</v>
      </c>
      <c r="C63" s="353" t="s">
        <v>1144</v>
      </c>
      <c r="D63" s="354" t="s">
        <v>1145</v>
      </c>
      <c r="E63" s="354" t="s">
        <v>1146</v>
      </c>
      <c r="F63" s="354" t="s">
        <v>1147</v>
      </c>
      <c r="G63" s="380" t="s">
        <v>1113</v>
      </c>
      <c r="H63" s="381" t="s">
        <v>1113</v>
      </c>
      <c r="I63" s="381" t="s">
        <v>1114</v>
      </c>
      <c r="J63" s="382" t="s">
        <v>305</v>
      </c>
    </row>
    <row r="64" spans="1:11" s="87" customFormat="1" ht="21">
      <c r="B64" s="355">
        <v>1</v>
      </c>
      <c r="C64" s="356" t="s">
        <v>1189</v>
      </c>
      <c r="D64" s="357"/>
      <c r="E64" s="357" t="s">
        <v>1190</v>
      </c>
      <c r="F64" s="357">
        <v>2003</v>
      </c>
      <c r="G64" s="388">
        <v>12</v>
      </c>
      <c r="H64" s="388"/>
      <c r="I64" s="407"/>
      <c r="J64" s="389">
        <f>+G64*I64</f>
        <v>0</v>
      </c>
    </row>
    <row r="65" spans="1:10" s="87" customFormat="1" ht="21.6" thickBot="1">
      <c r="B65" s="366">
        <v>2</v>
      </c>
      <c r="C65" s="367" t="s">
        <v>1131</v>
      </c>
      <c r="D65" s="368" t="s">
        <v>1191</v>
      </c>
      <c r="E65" s="368" t="s">
        <v>1190</v>
      </c>
      <c r="F65" s="368">
        <v>2009</v>
      </c>
      <c r="G65" s="388">
        <v>24</v>
      </c>
      <c r="H65" s="388" t="s">
        <v>1192</v>
      </c>
      <c r="I65" s="407">
        <v>5050</v>
      </c>
      <c r="J65" s="389">
        <f>+G65*I65</f>
        <v>121200</v>
      </c>
    </row>
    <row r="66" spans="1:10" s="87" customFormat="1" ht="21">
      <c r="C66" s="334"/>
      <c r="D66" s="334"/>
      <c r="E66" s="334"/>
      <c r="F66" s="349" t="s">
        <v>305</v>
      </c>
      <c r="G66" s="408">
        <f>SUM(G64:G65)</f>
        <v>36</v>
      </c>
      <c r="H66" s="334"/>
      <c r="J66" s="409">
        <f>SUM(J64:J65)</f>
        <v>121200</v>
      </c>
    </row>
    <row r="67" spans="1:10" s="314" customFormat="1" ht="18.600000000000001" thickBot="1">
      <c r="A67" s="87"/>
      <c r="B67" s="87"/>
      <c r="C67" s="334"/>
      <c r="D67" s="334"/>
      <c r="E67" s="334"/>
      <c r="F67" s="334"/>
      <c r="G67" s="334"/>
      <c r="H67" s="334"/>
      <c r="I67" s="87"/>
      <c r="J67" s="87"/>
    </row>
    <row r="68" spans="1:10" s="314" customFormat="1" ht="24" thickBot="1">
      <c r="C68" s="334"/>
      <c r="D68" s="334"/>
      <c r="E68" s="334"/>
      <c r="F68" s="334"/>
      <c r="G68" s="676" t="s">
        <v>1107</v>
      </c>
      <c r="H68" s="677"/>
      <c r="I68" s="677"/>
      <c r="J68" s="678"/>
    </row>
    <row r="69" spans="1:10" ht="21.6" thickBot="1">
      <c r="A69" s="314"/>
      <c r="B69" s="314"/>
      <c r="C69" s="334"/>
      <c r="D69" s="334"/>
      <c r="E69" s="334"/>
      <c r="F69" s="334"/>
      <c r="G69" s="312" t="s">
        <v>1110</v>
      </c>
      <c r="H69" s="313" t="s">
        <v>1111</v>
      </c>
      <c r="I69" s="313" t="s">
        <v>1112</v>
      </c>
      <c r="J69" s="371" t="s">
        <v>1112</v>
      </c>
    </row>
    <row r="70" spans="1:10" s="87" customFormat="1" ht="21.6" thickBot="1">
      <c r="A70" s="106"/>
      <c r="B70" s="352" t="s">
        <v>308</v>
      </c>
      <c r="C70" s="353" t="s">
        <v>1144</v>
      </c>
      <c r="D70" s="354" t="s">
        <v>1145</v>
      </c>
      <c r="E70" s="354" t="s">
        <v>1146</v>
      </c>
      <c r="F70" s="354" t="s">
        <v>1147</v>
      </c>
      <c r="G70" s="380" t="s">
        <v>1113</v>
      </c>
      <c r="H70" s="381" t="s">
        <v>1113</v>
      </c>
      <c r="I70" s="381" t="s">
        <v>1114</v>
      </c>
      <c r="J70" s="382" t="s">
        <v>305</v>
      </c>
    </row>
    <row r="71" spans="1:10" s="87" customFormat="1" ht="21">
      <c r="B71" s="355">
        <v>2</v>
      </c>
      <c r="C71" s="356" t="s">
        <v>1193</v>
      </c>
      <c r="D71" s="357" t="s">
        <v>1194</v>
      </c>
      <c r="E71" s="357" t="s">
        <v>1195</v>
      </c>
      <c r="F71" s="357">
        <v>1999</v>
      </c>
      <c r="G71" s="388">
        <v>16</v>
      </c>
      <c r="H71" s="388" t="s">
        <v>1192</v>
      </c>
      <c r="I71" s="328">
        <v>5050</v>
      </c>
      <c r="J71" s="389">
        <f>+G71*I71</f>
        <v>80800</v>
      </c>
    </row>
    <row r="72" spans="1:10" s="87" customFormat="1" ht="21">
      <c r="B72" s="355">
        <v>2</v>
      </c>
      <c r="C72" s="356" t="s">
        <v>1126</v>
      </c>
      <c r="D72" s="357" t="s">
        <v>1196</v>
      </c>
      <c r="E72" s="357" t="s">
        <v>1195</v>
      </c>
      <c r="F72" s="357">
        <v>1999</v>
      </c>
      <c r="G72" s="388">
        <v>20</v>
      </c>
      <c r="H72" s="388" t="s">
        <v>1192</v>
      </c>
      <c r="I72" s="328">
        <v>5050</v>
      </c>
      <c r="J72" s="389">
        <f>+G72*I72</f>
        <v>101000</v>
      </c>
    </row>
    <row r="73" spans="1:10" s="410" customFormat="1" ht="21.6" hidden="1" thickBot="1">
      <c r="A73" s="87"/>
      <c r="B73" s="373">
        <v>1</v>
      </c>
      <c r="C73" s="374" t="s">
        <v>1134</v>
      </c>
      <c r="D73" s="375" t="s">
        <v>1197</v>
      </c>
      <c r="E73" s="375" t="s">
        <v>1195</v>
      </c>
      <c r="F73" s="375">
        <v>1999</v>
      </c>
      <c r="G73" s="388">
        <v>8</v>
      </c>
      <c r="H73" s="388" t="s">
        <v>1192</v>
      </c>
      <c r="I73" s="328"/>
      <c r="J73" s="389"/>
    </row>
    <row r="74" spans="1:10" ht="18" hidden="1">
      <c r="A74" s="410"/>
      <c r="B74" s="410"/>
      <c r="C74" s="335"/>
      <c r="D74" s="335"/>
      <c r="E74" s="335"/>
      <c r="F74" s="335"/>
      <c r="G74" s="335">
        <f>SUM(G71:G73)</f>
        <v>44</v>
      </c>
      <c r="H74" s="335"/>
      <c r="I74" s="410"/>
      <c r="J74" s="411">
        <f>SUM(J71:J73)</f>
        <v>181800</v>
      </c>
    </row>
    <row r="75" spans="1:10" ht="18" hidden="1">
      <c r="G75" s="241"/>
    </row>
    <row r="76" spans="1:10" ht="18" hidden="1">
      <c r="G76" s="241"/>
    </row>
    <row r="77" spans="1:10" ht="18" hidden="1">
      <c r="G77" s="241"/>
    </row>
    <row r="78" spans="1:10" ht="16.5" customHeight="1">
      <c r="G78" s="241"/>
    </row>
    <row r="79" spans="1:10" s="314" customFormat="1" ht="21">
      <c r="A79" s="106"/>
      <c r="B79" s="106"/>
      <c r="C79" s="106"/>
      <c r="D79" s="106"/>
      <c r="E79" s="106"/>
      <c r="F79" s="349" t="s">
        <v>305</v>
      </c>
      <c r="G79" s="412">
        <v>36</v>
      </c>
      <c r="H79" s="106"/>
      <c r="I79" s="106"/>
      <c r="J79" s="413">
        <f>+J71+J72+J73</f>
        <v>181800</v>
      </c>
    </row>
    <row r="80" spans="1:10" s="314" customFormat="1" ht="18.600000000000001" thickBot="1">
      <c r="C80" s="334"/>
      <c r="D80" s="334"/>
      <c r="E80" s="334"/>
      <c r="F80" s="334"/>
      <c r="G80" s="334"/>
      <c r="H80" s="334"/>
    </row>
    <row r="81" spans="1:10" s="314" customFormat="1" ht="24" thickBot="1">
      <c r="C81" s="334"/>
      <c r="D81" s="334"/>
      <c r="E81" s="334"/>
      <c r="F81" s="334"/>
      <c r="G81" s="676" t="s">
        <v>1107</v>
      </c>
      <c r="H81" s="677"/>
      <c r="I81" s="677"/>
      <c r="J81" s="678"/>
    </row>
    <row r="82" spans="1:10" ht="21.6" thickBot="1">
      <c r="A82" s="314"/>
      <c r="B82" s="314"/>
      <c r="C82" s="334"/>
      <c r="D82" s="334"/>
      <c r="E82" s="334"/>
      <c r="F82" s="334"/>
      <c r="G82" s="312" t="s">
        <v>1110</v>
      </c>
      <c r="H82" s="313" t="s">
        <v>1111</v>
      </c>
      <c r="I82" s="313" t="s">
        <v>1112</v>
      </c>
      <c r="J82" s="371" t="s">
        <v>1112</v>
      </c>
    </row>
    <row r="83" spans="1:10" s="87" customFormat="1" ht="21.6" thickBot="1">
      <c r="A83" s="106"/>
      <c r="B83" s="352" t="s">
        <v>308</v>
      </c>
      <c r="C83" s="353" t="s">
        <v>1144</v>
      </c>
      <c r="D83" s="354" t="s">
        <v>1145</v>
      </c>
      <c r="E83" s="354" t="s">
        <v>1146</v>
      </c>
      <c r="F83" s="354" t="s">
        <v>1147</v>
      </c>
      <c r="G83" s="380" t="s">
        <v>1113</v>
      </c>
      <c r="H83" s="381" t="s">
        <v>1198</v>
      </c>
      <c r="I83" s="381" t="s">
        <v>1114</v>
      </c>
      <c r="J83" s="382" t="s">
        <v>305</v>
      </c>
    </row>
    <row r="84" spans="1:10" s="410" customFormat="1" ht="21" hidden="1">
      <c r="A84" s="87"/>
      <c r="B84" s="355">
        <v>7</v>
      </c>
      <c r="C84" s="356" t="s">
        <v>1199</v>
      </c>
      <c r="D84" s="357"/>
      <c r="E84" s="357" t="s">
        <v>1200</v>
      </c>
      <c r="F84" s="357">
        <v>2013</v>
      </c>
      <c r="G84" s="388">
        <v>56</v>
      </c>
      <c r="H84" s="388"/>
      <c r="I84" s="328"/>
      <c r="J84" s="389">
        <f>+G84*I84</f>
        <v>0</v>
      </c>
    </row>
    <row r="85" spans="1:10" ht="18" hidden="1">
      <c r="A85" s="410"/>
      <c r="B85" s="410"/>
      <c r="C85" s="335"/>
      <c r="D85" s="335"/>
      <c r="E85" s="335"/>
      <c r="F85" s="335"/>
      <c r="G85" s="335">
        <f>SUM(G84:G84)</f>
        <v>56</v>
      </c>
      <c r="H85" s="335"/>
      <c r="I85" s="410"/>
      <c r="J85" s="411">
        <f>SUM(J84:J84)</f>
        <v>0</v>
      </c>
    </row>
    <row r="86" spans="1:10" ht="18" hidden="1">
      <c r="G86" s="241"/>
    </row>
    <row r="87" spans="1:10" ht="18" hidden="1">
      <c r="G87" s="241"/>
    </row>
    <row r="88" spans="1:10" ht="18" hidden="1">
      <c r="G88" s="241"/>
    </row>
    <row r="89" spans="1:10" ht="16.5" customHeight="1">
      <c r="B89" s="414">
        <v>7</v>
      </c>
      <c r="C89" s="415" t="s">
        <v>1199</v>
      </c>
      <c r="D89" s="415"/>
      <c r="E89" s="415" t="s">
        <v>1200</v>
      </c>
      <c r="F89" s="415">
        <v>2013</v>
      </c>
      <c r="G89" s="416">
        <v>56</v>
      </c>
      <c r="H89" s="107" t="s">
        <v>1201</v>
      </c>
      <c r="I89" s="107">
        <v>8700</v>
      </c>
      <c r="J89" s="107"/>
    </row>
    <row r="90" spans="1:10" ht="16.5" customHeight="1">
      <c r="F90" s="349" t="s">
        <v>305</v>
      </c>
      <c r="G90" s="412"/>
      <c r="J90" s="413"/>
    </row>
    <row r="91" spans="1:10" ht="16.5" customHeight="1">
      <c r="F91" s="349"/>
      <c r="G91" s="412"/>
      <c r="J91" s="417"/>
    </row>
    <row r="92" spans="1:10" ht="16.5" customHeight="1">
      <c r="B92" s="690" t="s">
        <v>122</v>
      </c>
      <c r="C92" s="690"/>
      <c r="D92" s="690" t="s">
        <v>1202</v>
      </c>
      <c r="E92" s="690"/>
      <c r="G92" s="349">
        <v>1760</v>
      </c>
      <c r="I92" s="418">
        <f>+J20+J31+J37+J46+J59+J66+J90</f>
        <v>9662640</v>
      </c>
      <c r="J92" s="419">
        <f>+I92*2</f>
        <v>19325280</v>
      </c>
    </row>
    <row r="93" spans="1:10" ht="16.5" customHeight="1">
      <c r="G93" s="349"/>
    </row>
    <row r="94" spans="1:10" ht="16.5" customHeight="1">
      <c r="G94" s="349"/>
    </row>
    <row r="95" spans="1:10" s="420" customFormat="1" ht="15.6">
      <c r="A95" s="106"/>
      <c r="B95" s="106"/>
      <c r="C95" s="106"/>
      <c r="D95" s="106"/>
      <c r="E95" s="106"/>
      <c r="F95" s="106"/>
      <c r="G95" s="106"/>
      <c r="H95" s="106"/>
      <c r="I95" s="106"/>
      <c r="J95" s="106"/>
    </row>
    <row r="96" spans="1:10" ht="15.6">
      <c r="A96" s="420"/>
      <c r="B96" s="420"/>
      <c r="C96" s="421"/>
      <c r="D96" s="422" t="s">
        <v>1203</v>
      </c>
      <c r="E96" s="422"/>
      <c r="F96" s="422" t="s">
        <v>308</v>
      </c>
      <c r="G96" s="423"/>
      <c r="H96" s="423"/>
      <c r="I96" s="420"/>
      <c r="J96" s="420"/>
    </row>
    <row r="97" spans="3:8" ht="18">
      <c r="C97" s="423"/>
      <c r="D97" s="424" t="s">
        <v>1117</v>
      </c>
      <c r="E97" s="423"/>
      <c r="F97" s="423">
        <v>22</v>
      </c>
      <c r="G97" s="334"/>
      <c r="H97" s="334"/>
    </row>
    <row r="98" spans="3:8" ht="18">
      <c r="C98" s="423"/>
      <c r="D98" s="424" t="s">
        <v>1204</v>
      </c>
      <c r="E98" s="423"/>
      <c r="F98" s="423">
        <v>7</v>
      </c>
      <c r="G98" s="334"/>
      <c r="H98" s="334"/>
    </row>
    <row r="99" spans="3:8" ht="18">
      <c r="C99" s="423"/>
      <c r="D99" s="424" t="s">
        <v>1205</v>
      </c>
      <c r="E99" s="423"/>
      <c r="F99" s="423">
        <v>10</v>
      </c>
      <c r="G99" s="334"/>
      <c r="H99" s="334"/>
    </row>
    <row r="100" spans="3:8" ht="18">
      <c r="C100" s="423"/>
      <c r="D100" s="424" t="s">
        <v>1206</v>
      </c>
      <c r="E100" s="423"/>
      <c r="F100" s="423">
        <v>4</v>
      </c>
      <c r="G100" s="334"/>
      <c r="H100" s="334"/>
    </row>
    <row r="101" spans="3:8" ht="18">
      <c r="C101" s="423"/>
      <c r="D101" s="424" t="s">
        <v>1207</v>
      </c>
      <c r="E101" s="423"/>
      <c r="F101" s="423">
        <v>20</v>
      </c>
      <c r="G101" s="334"/>
      <c r="H101" s="334"/>
    </row>
    <row r="102" spans="3:8" ht="18">
      <c r="C102" s="423"/>
      <c r="D102" s="424" t="s">
        <v>1208</v>
      </c>
      <c r="E102" s="423"/>
      <c r="F102" s="423">
        <v>2</v>
      </c>
      <c r="G102" s="334"/>
      <c r="H102" s="334"/>
    </row>
    <row r="103" spans="3:8" ht="18">
      <c r="C103" s="423"/>
      <c r="D103" s="424" t="s">
        <v>1209</v>
      </c>
      <c r="E103" s="423"/>
      <c r="F103" s="423">
        <v>1</v>
      </c>
      <c r="G103" s="334"/>
      <c r="H103" s="334"/>
    </row>
    <row r="104" spans="3:8" ht="18">
      <c r="C104" s="423"/>
      <c r="D104" s="424" t="s">
        <v>1210</v>
      </c>
      <c r="E104" s="423"/>
      <c r="F104" s="423">
        <v>2</v>
      </c>
      <c r="G104" s="334"/>
      <c r="H104" s="334"/>
    </row>
    <row r="105" spans="3:8" ht="18">
      <c r="C105" s="423"/>
      <c r="D105" s="424" t="s">
        <v>1211</v>
      </c>
      <c r="E105" s="423"/>
      <c r="F105" s="423">
        <v>1</v>
      </c>
      <c r="G105" s="334"/>
      <c r="H105" s="334"/>
    </row>
    <row r="106" spans="3:8" ht="18">
      <c r="C106" s="423"/>
      <c r="D106" s="424" t="s">
        <v>1212</v>
      </c>
      <c r="E106" s="423"/>
      <c r="F106" s="423">
        <v>2</v>
      </c>
      <c r="G106" s="334"/>
      <c r="H106" s="334"/>
    </row>
    <row r="107" spans="3:8" ht="18">
      <c r="C107" s="423"/>
      <c r="D107" s="424" t="s">
        <v>1213</v>
      </c>
      <c r="E107" s="423"/>
      <c r="F107" s="423">
        <v>113</v>
      </c>
      <c r="G107" s="334"/>
      <c r="H107" s="334"/>
    </row>
    <row r="108" spans="3:8" ht="18">
      <c r="C108" s="423"/>
      <c r="D108" s="424" t="s">
        <v>1200</v>
      </c>
      <c r="E108" s="423"/>
      <c r="F108" s="423">
        <v>7</v>
      </c>
      <c r="G108" s="334"/>
      <c r="H108" s="334"/>
    </row>
    <row r="109" spans="3:8" ht="18">
      <c r="C109" s="423"/>
      <c r="D109" s="424" t="s">
        <v>1214</v>
      </c>
      <c r="E109" s="423"/>
      <c r="F109" s="423">
        <v>3</v>
      </c>
      <c r="G109" s="334"/>
      <c r="H109" s="334"/>
    </row>
    <row r="110" spans="3:8" ht="18">
      <c r="C110" s="423"/>
      <c r="D110" s="424" t="s">
        <v>1215</v>
      </c>
      <c r="E110" s="423"/>
      <c r="F110" s="425">
        <v>4</v>
      </c>
      <c r="G110" s="334"/>
      <c r="H110" s="334"/>
    </row>
    <row r="111" spans="3:8" ht="18">
      <c r="C111" s="423"/>
      <c r="D111" s="423" t="s">
        <v>1216</v>
      </c>
      <c r="E111" s="423"/>
      <c r="F111" s="426">
        <v>198</v>
      </c>
      <c r="G111" s="334"/>
      <c r="H111" s="334"/>
    </row>
    <row r="112" spans="3:8" ht="18">
      <c r="C112" s="423"/>
      <c r="D112" s="423"/>
      <c r="E112" s="423"/>
      <c r="F112" s="427"/>
      <c r="G112" s="334"/>
      <c r="H112" s="334"/>
    </row>
    <row r="113" spans="3:10" ht="18">
      <c r="C113" s="423"/>
      <c r="D113" s="423"/>
      <c r="E113" s="423"/>
      <c r="F113" s="427"/>
      <c r="G113" s="334"/>
      <c r="H113" s="334"/>
    </row>
    <row r="114" spans="3:10" ht="18">
      <c r="C114" s="423"/>
      <c r="D114" s="423"/>
      <c r="E114" s="423"/>
      <c r="F114" s="427"/>
      <c r="G114" s="334"/>
      <c r="H114" s="334"/>
    </row>
    <row r="115" spans="3:10" ht="18.600000000000001" thickBot="1">
      <c r="C115" s="423"/>
      <c r="D115" s="423"/>
      <c r="E115" s="423"/>
      <c r="F115" s="427"/>
      <c r="G115" s="334"/>
      <c r="H115" s="334"/>
    </row>
    <row r="116" spans="3:10" ht="16.2" thickBot="1">
      <c r="C116" s="428"/>
      <c r="D116" s="428"/>
      <c r="E116" s="428"/>
      <c r="F116" s="655" t="s">
        <v>1217</v>
      </c>
      <c r="G116" s="656"/>
      <c r="H116" s="657"/>
    </row>
    <row r="117" spans="3:10" ht="18">
      <c r="C117" s="658" t="s">
        <v>1218</v>
      </c>
      <c r="D117" s="659"/>
      <c r="E117" s="660"/>
      <c r="F117" s="429" t="s">
        <v>1112</v>
      </c>
      <c r="G117" s="429" t="s">
        <v>1219</v>
      </c>
      <c r="H117" s="429" t="s">
        <v>1220</v>
      </c>
      <c r="J117" s="335"/>
    </row>
    <row r="118" spans="3:10" ht="18.600000000000001" thickBot="1">
      <c r="C118" s="661"/>
      <c r="D118" s="662"/>
      <c r="E118" s="663"/>
      <c r="F118" s="430" t="s">
        <v>1114</v>
      </c>
      <c r="G118" s="430"/>
      <c r="H118" s="431" t="s">
        <v>305</v>
      </c>
    </row>
    <row r="119" spans="3:10" ht="18.600000000000001" thickBot="1">
      <c r="C119" s="667" t="s">
        <v>1221</v>
      </c>
      <c r="D119" s="668"/>
      <c r="E119" s="669"/>
      <c r="F119" s="432">
        <v>135000</v>
      </c>
      <c r="G119" s="433">
        <v>396</v>
      </c>
      <c r="H119" s="434">
        <f>+F119*G119</f>
        <v>53460000</v>
      </c>
      <c r="I119" s="435"/>
      <c r="J119" s="435"/>
    </row>
    <row r="120" spans="3:10" ht="18.600000000000001" thickBot="1">
      <c r="C120" s="667" t="s">
        <v>1222</v>
      </c>
      <c r="D120" s="668"/>
      <c r="E120" s="669"/>
      <c r="F120" s="432">
        <v>500</v>
      </c>
      <c r="G120" s="436">
        <v>2292</v>
      </c>
      <c r="H120" s="434">
        <f t="shared" ref="H120:H129" si="4">+F120*G120</f>
        <v>1146000</v>
      </c>
      <c r="I120" s="435"/>
      <c r="J120" s="435"/>
    </row>
    <row r="121" spans="3:10" ht="18.600000000000001" thickBot="1">
      <c r="C121" s="438" t="s">
        <v>1223</v>
      </c>
      <c r="D121" s="439"/>
      <c r="E121" s="440"/>
      <c r="F121" s="432">
        <v>1500</v>
      </c>
      <c r="G121" s="436">
        <v>2292</v>
      </c>
      <c r="H121" s="434">
        <f t="shared" si="4"/>
        <v>3438000</v>
      </c>
      <c r="I121" s="435"/>
      <c r="J121" s="435"/>
    </row>
    <row r="122" spans="3:10" ht="18.600000000000001" thickBot="1">
      <c r="C122" s="667" t="s">
        <v>1224</v>
      </c>
      <c r="D122" s="668"/>
      <c r="E122" s="669"/>
      <c r="F122" s="441">
        <v>250</v>
      </c>
      <c r="G122" s="436">
        <v>11968</v>
      </c>
      <c r="H122" s="434">
        <f t="shared" si="4"/>
        <v>2992000</v>
      </c>
    </row>
    <row r="123" spans="3:10" ht="18.600000000000001" thickBot="1">
      <c r="C123" s="438" t="s">
        <v>1225</v>
      </c>
      <c r="D123" s="439"/>
      <c r="E123" s="440"/>
      <c r="F123" s="441">
        <v>860</v>
      </c>
      <c r="G123" s="436">
        <v>9200</v>
      </c>
      <c r="H123" s="434">
        <f t="shared" si="4"/>
        <v>7912000</v>
      </c>
    </row>
    <row r="124" spans="3:10" ht="18.600000000000001" thickBot="1">
      <c r="C124" s="438" t="s">
        <v>1226</v>
      </c>
      <c r="D124" s="439"/>
      <c r="E124" s="440"/>
      <c r="F124" s="441">
        <v>900</v>
      </c>
      <c r="G124" s="436">
        <v>748</v>
      </c>
      <c r="H124" s="434">
        <f t="shared" si="4"/>
        <v>673200</v>
      </c>
    </row>
    <row r="125" spans="3:10" ht="18.600000000000001" thickBot="1">
      <c r="C125" s="438" t="s">
        <v>1227</v>
      </c>
      <c r="D125" s="439"/>
      <c r="E125" s="440"/>
      <c r="F125" s="441">
        <v>9542</v>
      </c>
      <c r="G125" s="436">
        <v>80</v>
      </c>
      <c r="H125" s="434">
        <f t="shared" si="4"/>
        <v>763360</v>
      </c>
    </row>
    <row r="126" spans="3:10" ht="18.600000000000001" thickBot="1">
      <c r="C126" s="685" t="s">
        <v>1228</v>
      </c>
      <c r="D126" s="686"/>
      <c r="E126" s="687"/>
      <c r="F126" s="441">
        <v>8372</v>
      </c>
      <c r="G126" s="436">
        <v>44</v>
      </c>
      <c r="H126" s="434">
        <f t="shared" si="4"/>
        <v>368368</v>
      </c>
    </row>
    <row r="127" spans="3:10" ht="18.600000000000001" thickBot="1">
      <c r="C127" s="652" t="s">
        <v>1229</v>
      </c>
      <c r="D127" s="653"/>
      <c r="E127" s="654"/>
      <c r="F127" s="441">
        <v>10492</v>
      </c>
      <c r="G127" s="436">
        <v>226</v>
      </c>
      <c r="H127" s="434">
        <f t="shared" si="4"/>
        <v>2371192</v>
      </c>
    </row>
    <row r="128" spans="3:10" ht="18.600000000000001" thickBot="1">
      <c r="C128" s="443" t="s">
        <v>1230</v>
      </c>
      <c r="D128" s="444"/>
      <c r="E128" s="445"/>
      <c r="F128" s="441">
        <v>350</v>
      </c>
      <c r="G128" s="436">
        <v>8976</v>
      </c>
      <c r="H128" s="434">
        <f t="shared" si="4"/>
        <v>3141600</v>
      </c>
    </row>
    <row r="129" spans="3:10" ht="18.600000000000001" thickBot="1">
      <c r="C129" s="670" t="s">
        <v>1231</v>
      </c>
      <c r="D129" s="671"/>
      <c r="E129" s="672"/>
      <c r="F129" s="446">
        <v>250</v>
      </c>
      <c r="G129" s="447">
        <v>1122</v>
      </c>
      <c r="H129" s="434">
        <f t="shared" si="4"/>
        <v>280500</v>
      </c>
    </row>
    <row r="130" spans="3:10" ht="18">
      <c r="C130" s="404"/>
      <c r="D130" s="404"/>
      <c r="E130" s="404"/>
      <c r="F130" s="404"/>
      <c r="G130" s="350" t="s">
        <v>305</v>
      </c>
      <c r="H130" s="448">
        <f>SUM(H119:H129)</f>
        <v>76546220</v>
      </c>
      <c r="I130" s="449">
        <f>+H130*12</f>
        <v>918554640</v>
      </c>
    </row>
    <row r="131" spans="3:10" ht="18">
      <c r="C131" s="404"/>
      <c r="D131" s="404"/>
      <c r="E131" s="404"/>
      <c r="F131" s="404"/>
      <c r="G131" s="350"/>
      <c r="H131" s="448"/>
      <c r="I131" s="449"/>
    </row>
    <row r="132" spans="3:10" ht="18.600000000000001" thickBot="1">
      <c r="C132" s="423"/>
      <c r="D132" s="423"/>
      <c r="E132" s="423"/>
      <c r="F132" s="427"/>
      <c r="G132" s="334"/>
      <c r="H132" s="334"/>
    </row>
    <row r="133" spans="3:10" ht="16.2" thickBot="1">
      <c r="C133" s="428"/>
      <c r="D133" s="428"/>
      <c r="E133" s="428"/>
      <c r="F133" s="655" t="s">
        <v>1232</v>
      </c>
      <c r="G133" s="656"/>
      <c r="H133" s="657"/>
    </row>
    <row r="134" spans="3:10" ht="18">
      <c r="C134" s="679" t="s">
        <v>1233</v>
      </c>
      <c r="D134" s="680"/>
      <c r="E134" s="681"/>
      <c r="F134" s="429" t="s">
        <v>1112</v>
      </c>
      <c r="G134" s="429" t="s">
        <v>1219</v>
      </c>
      <c r="H134" s="429" t="s">
        <v>1220</v>
      </c>
      <c r="J134" s="335"/>
    </row>
    <row r="135" spans="3:10" ht="18.600000000000001" thickBot="1">
      <c r="C135" s="682"/>
      <c r="D135" s="683"/>
      <c r="E135" s="684"/>
      <c r="F135" s="430" t="s">
        <v>1114</v>
      </c>
      <c r="G135" s="430" t="s">
        <v>1234</v>
      </c>
      <c r="H135" s="431" t="s">
        <v>305</v>
      </c>
    </row>
    <row r="136" spans="3:10" ht="18">
      <c r="C136" s="667" t="s">
        <v>1235</v>
      </c>
      <c r="D136" s="668"/>
      <c r="E136" s="669"/>
      <c r="F136" s="432">
        <v>198</v>
      </c>
      <c r="G136" s="450">
        <v>32</v>
      </c>
      <c r="H136" s="492">
        <f>+F136*G136</f>
        <v>6336</v>
      </c>
      <c r="I136" s="435"/>
      <c r="J136" s="435"/>
    </row>
    <row r="137" spans="3:10" ht="18">
      <c r="C137" s="667" t="s">
        <v>1236</v>
      </c>
      <c r="D137" s="668"/>
      <c r="E137" s="669"/>
      <c r="F137" s="441">
        <v>198</v>
      </c>
      <c r="G137" s="450">
        <v>32</v>
      </c>
      <c r="H137" s="493">
        <f t="shared" ref="H137:H142" si="5">+F137*G137</f>
        <v>6336</v>
      </c>
    </row>
    <row r="138" spans="3:10" ht="18">
      <c r="C138" s="438" t="s">
        <v>1237</v>
      </c>
      <c r="D138" s="439"/>
      <c r="E138" s="440"/>
      <c r="F138" s="441">
        <v>703.22</v>
      </c>
      <c r="G138" s="436">
        <v>11000</v>
      </c>
      <c r="H138" s="493">
        <f t="shared" si="5"/>
        <v>7735420</v>
      </c>
    </row>
    <row r="139" spans="3:10" ht="18">
      <c r="C139" s="438" t="s">
        <v>1238</v>
      </c>
      <c r="D139" s="439"/>
      <c r="E139" s="440"/>
      <c r="F139" s="441">
        <v>694.46</v>
      </c>
      <c r="G139" s="436">
        <v>2000</v>
      </c>
      <c r="H139" s="493">
        <f t="shared" si="5"/>
        <v>1388920</v>
      </c>
    </row>
    <row r="140" spans="3:10" ht="18">
      <c r="C140" s="438" t="s">
        <v>1239</v>
      </c>
      <c r="D140" s="439"/>
      <c r="E140" s="440"/>
      <c r="F140" s="441">
        <v>750</v>
      </c>
      <c r="G140" s="436">
        <v>400</v>
      </c>
      <c r="H140" s="493">
        <f t="shared" si="5"/>
        <v>300000</v>
      </c>
    </row>
    <row r="141" spans="3:10" ht="18.600000000000001" thickBot="1">
      <c r="C141" s="685" t="s">
        <v>1240</v>
      </c>
      <c r="D141" s="686"/>
      <c r="E141" s="687"/>
      <c r="F141" s="441">
        <v>519.79</v>
      </c>
      <c r="G141" s="436">
        <v>10</v>
      </c>
      <c r="H141" s="493">
        <f t="shared" si="5"/>
        <v>5197.8999999999996</v>
      </c>
    </row>
    <row r="142" spans="3:10" ht="18.600000000000001" thickBot="1">
      <c r="C142" s="685" t="s">
        <v>1241</v>
      </c>
      <c r="D142" s="686"/>
      <c r="E142" s="687"/>
      <c r="F142" s="446"/>
      <c r="G142" s="451">
        <v>2000</v>
      </c>
      <c r="H142" s="494">
        <f t="shared" si="5"/>
        <v>0</v>
      </c>
    </row>
    <row r="143" spans="3:10" ht="18">
      <c r="C143" s="404"/>
      <c r="D143" s="404"/>
      <c r="E143" s="404"/>
      <c r="F143" s="404"/>
      <c r="G143" s="350" t="s">
        <v>305</v>
      </c>
      <c r="H143" s="448">
        <f>SUM(H136:H142)</f>
        <v>9442209.9000000004</v>
      </c>
      <c r="I143" s="449">
        <f>+H143*12</f>
        <v>113306518.80000001</v>
      </c>
    </row>
    <row r="144" spans="3:10" ht="18">
      <c r="C144" s="404"/>
      <c r="D144" s="404"/>
      <c r="E144" s="404"/>
      <c r="F144" s="404"/>
      <c r="G144" s="350"/>
      <c r="H144" s="448"/>
      <c r="I144" s="449"/>
    </row>
    <row r="145" spans="1:10" ht="18">
      <c r="C145" s="335"/>
      <c r="D145" s="335"/>
      <c r="E145" s="335"/>
      <c r="F145" s="335"/>
      <c r="G145" s="335"/>
      <c r="H145" s="335"/>
      <c r="I145" s="410"/>
    </row>
    <row r="146" spans="1:10" ht="18">
      <c r="C146" s="335"/>
      <c r="D146" s="335"/>
      <c r="E146" s="335"/>
      <c r="F146" s="335"/>
      <c r="G146" s="335"/>
      <c r="H146" s="335"/>
      <c r="I146" s="410"/>
    </row>
    <row r="147" spans="1:10" ht="18">
      <c r="C147" s="335"/>
      <c r="D147" s="335"/>
      <c r="E147" s="335"/>
      <c r="F147" s="335"/>
      <c r="G147" s="335"/>
      <c r="H147" s="335"/>
      <c r="I147" s="410"/>
    </row>
    <row r="148" spans="1:10" s="420" customFormat="1" ht="18.600000000000001" thickBot="1">
      <c r="A148" s="106"/>
      <c r="B148" s="106"/>
      <c r="C148" s="334"/>
      <c r="D148" s="334"/>
      <c r="E148" s="334"/>
      <c r="F148" s="334"/>
      <c r="G148" s="334"/>
      <c r="H148" s="334"/>
      <c r="I148" s="106"/>
      <c r="J148" s="106"/>
    </row>
    <row r="149" spans="1:10" ht="16.2" thickBot="1">
      <c r="A149" s="420"/>
      <c r="B149" s="420"/>
      <c r="C149" s="428"/>
      <c r="D149" s="428"/>
      <c r="E149" s="428"/>
      <c r="F149" s="655" t="s">
        <v>1232</v>
      </c>
      <c r="G149" s="656"/>
      <c r="H149" s="657"/>
      <c r="I149" s="420"/>
      <c r="J149" s="423"/>
    </row>
    <row r="150" spans="1:10" ht="15.6">
      <c r="C150" s="679" t="s">
        <v>1233</v>
      </c>
      <c r="D150" s="680"/>
      <c r="E150" s="681"/>
      <c r="F150" s="452" t="s">
        <v>1112</v>
      </c>
      <c r="G150" s="452" t="s">
        <v>1219</v>
      </c>
      <c r="H150" s="452" t="s">
        <v>1220</v>
      </c>
      <c r="J150" s="423"/>
    </row>
    <row r="151" spans="1:10" ht="16.2" thickBot="1">
      <c r="C151" s="682"/>
      <c r="D151" s="683"/>
      <c r="E151" s="684"/>
      <c r="F151" s="453" t="s">
        <v>1114</v>
      </c>
      <c r="G151" s="453"/>
      <c r="H151" s="454" t="s">
        <v>305</v>
      </c>
      <c r="J151" s="423"/>
    </row>
    <row r="152" spans="1:10" ht="18">
      <c r="C152" s="664" t="s">
        <v>1242</v>
      </c>
      <c r="D152" s="665"/>
      <c r="E152" s="666"/>
      <c r="F152" s="455">
        <v>800</v>
      </c>
      <c r="G152" s="433">
        <v>434</v>
      </c>
      <c r="H152" s="434">
        <f>+F152*G152</f>
        <v>347200</v>
      </c>
      <c r="J152" s="319"/>
    </row>
    <row r="153" spans="1:10" ht="18.600000000000001" thickBot="1">
      <c r="C153" s="685" t="s">
        <v>1243</v>
      </c>
      <c r="D153" s="686"/>
      <c r="E153" s="687"/>
      <c r="F153" s="446">
        <v>900</v>
      </c>
      <c r="G153" s="451">
        <v>434</v>
      </c>
      <c r="H153" s="442">
        <f>+F153*G153</f>
        <v>390600</v>
      </c>
      <c r="J153" s="319"/>
    </row>
    <row r="154" spans="1:10" ht="18">
      <c r="C154" s="404"/>
      <c r="D154" s="404"/>
      <c r="E154" s="404"/>
      <c r="F154" s="404"/>
      <c r="G154" s="350" t="s">
        <v>305</v>
      </c>
      <c r="H154" s="448">
        <f>SUM(H152:H153)</f>
        <v>737800</v>
      </c>
      <c r="I154" s="456">
        <f>+H154*2</f>
        <v>1475600</v>
      </c>
      <c r="J154" s="319"/>
    </row>
    <row r="155" spans="1:10" ht="18">
      <c r="C155" s="334"/>
      <c r="D155" s="334"/>
      <c r="E155" s="334"/>
      <c r="F155" s="334"/>
      <c r="G155" s="349"/>
      <c r="H155" s="349"/>
      <c r="I155" s="457"/>
      <c r="J155" s="319"/>
    </row>
    <row r="156" spans="1:10" ht="18.600000000000001" thickBot="1">
      <c r="C156" s="458"/>
      <c r="D156" s="458"/>
      <c r="E156" s="458"/>
      <c r="F156" s="458"/>
      <c r="G156" s="458"/>
      <c r="H156" s="458"/>
      <c r="I156" s="459"/>
    </row>
    <row r="157" spans="1:10" ht="16.2" thickBot="1">
      <c r="C157" s="428"/>
      <c r="D157" s="428"/>
      <c r="E157" s="428"/>
      <c r="F157" s="655" t="s">
        <v>1244</v>
      </c>
      <c r="G157" s="656"/>
      <c r="H157" s="657"/>
      <c r="I157" s="459"/>
    </row>
    <row r="158" spans="1:10" ht="15.6">
      <c r="C158" s="673" t="s">
        <v>1233</v>
      </c>
      <c r="D158" s="674"/>
      <c r="E158" s="675"/>
      <c r="F158" s="452" t="s">
        <v>1112</v>
      </c>
      <c r="G158" s="452" t="s">
        <v>1219</v>
      </c>
      <c r="H158" s="452" t="s">
        <v>1220</v>
      </c>
      <c r="I158" s="459"/>
    </row>
    <row r="159" spans="1:10" ht="16.2" thickBot="1">
      <c r="C159" s="649"/>
      <c r="D159" s="650"/>
      <c r="E159" s="651"/>
      <c r="F159" s="453" t="s">
        <v>1114</v>
      </c>
      <c r="G159" s="453" t="s">
        <v>1234</v>
      </c>
      <c r="H159" s="454" t="s">
        <v>305</v>
      </c>
      <c r="I159" s="459"/>
    </row>
    <row r="160" spans="1:10" ht="18.600000000000001" thickBot="1">
      <c r="C160" s="652" t="s">
        <v>1245</v>
      </c>
      <c r="D160" s="653"/>
      <c r="E160" s="654"/>
      <c r="F160" s="460"/>
      <c r="G160" s="461">
        <v>35</v>
      </c>
      <c r="H160" s="462"/>
      <c r="I160" s="463">
        <f>+H160*4</f>
        <v>0</v>
      </c>
    </row>
    <row r="161" spans="3:11" ht="18">
      <c r="C161" s="458"/>
      <c r="D161" s="458"/>
      <c r="E161" s="458"/>
      <c r="F161" s="458"/>
      <c r="G161" s="458"/>
      <c r="H161" s="458"/>
      <c r="I161" s="459"/>
    </row>
    <row r="162" spans="3:11" ht="18.600000000000001" thickBot="1">
      <c r="C162" s="458"/>
      <c r="D162" s="458"/>
      <c r="E162" s="458"/>
      <c r="F162" s="458"/>
      <c r="G162" s="458"/>
      <c r="H162" s="458"/>
      <c r="I162" s="459"/>
    </row>
    <row r="163" spans="3:11" ht="16.2" thickBot="1">
      <c r="C163" s="428"/>
      <c r="D163" s="428"/>
      <c r="E163" s="428"/>
      <c r="F163" s="655" t="s">
        <v>1232</v>
      </c>
      <c r="G163" s="656"/>
      <c r="H163" s="657"/>
      <c r="I163" s="410"/>
    </row>
    <row r="164" spans="3:11" ht="15.6">
      <c r="C164" s="673" t="s">
        <v>1233</v>
      </c>
      <c r="D164" s="674"/>
      <c r="E164" s="675"/>
      <c r="F164" s="452" t="s">
        <v>1112</v>
      </c>
      <c r="G164" s="452" t="s">
        <v>1219</v>
      </c>
      <c r="H164" s="452" t="s">
        <v>1220</v>
      </c>
      <c r="I164" s="410"/>
    </row>
    <row r="165" spans="3:11" ht="16.2" thickBot="1">
      <c r="C165" s="649"/>
      <c r="D165" s="650"/>
      <c r="E165" s="651"/>
      <c r="F165" s="453" t="s">
        <v>1114</v>
      </c>
      <c r="G165" s="453" t="s">
        <v>1234</v>
      </c>
      <c r="H165" s="454" t="s">
        <v>305</v>
      </c>
      <c r="I165" s="410"/>
    </row>
    <row r="166" spans="3:11" ht="18.600000000000001" thickBot="1">
      <c r="C166" s="652" t="s">
        <v>1246</v>
      </c>
      <c r="D166" s="653"/>
      <c r="E166" s="654"/>
      <c r="F166" s="464"/>
      <c r="G166" s="461">
        <v>50</v>
      </c>
      <c r="H166" s="462">
        <f>+F166*G166</f>
        <v>0</v>
      </c>
      <c r="I166" s="465">
        <f>+H166*12</f>
        <v>0</v>
      </c>
    </row>
    <row r="167" spans="3:11" ht="18">
      <c r="C167" s="458"/>
      <c r="D167" s="458"/>
      <c r="E167" s="458"/>
      <c r="F167" s="458"/>
      <c r="G167" s="458"/>
      <c r="H167" s="458"/>
      <c r="I167" s="410"/>
      <c r="K167" s="466"/>
    </row>
    <row r="168" spans="3:11" ht="18">
      <c r="C168" s="458"/>
      <c r="D168" s="458"/>
      <c r="E168" s="458"/>
      <c r="F168" s="458" t="s">
        <v>1247</v>
      </c>
      <c r="G168" s="458"/>
      <c r="H168" s="458"/>
      <c r="I168" s="410"/>
      <c r="J168" s="467" t="e">
        <f>+H166+H160+#REF!++H154+H143</f>
        <v>#REF!</v>
      </c>
      <c r="K168" s="466"/>
    </row>
    <row r="169" spans="3:11" ht="18.600000000000001" thickBot="1">
      <c r="C169" s="458"/>
      <c r="D169" s="458"/>
      <c r="E169" s="458"/>
      <c r="F169" s="458"/>
      <c r="G169" s="458"/>
      <c r="H169" s="458"/>
      <c r="I169" s="410"/>
      <c r="J169" s="467"/>
    </row>
    <row r="170" spans="3:11" ht="16.2" thickBot="1">
      <c r="C170" s="428"/>
      <c r="D170" s="428"/>
      <c r="E170" s="428"/>
      <c r="F170" s="655" t="s">
        <v>1244</v>
      </c>
      <c r="G170" s="656"/>
      <c r="H170" s="657"/>
      <c r="I170" s="459"/>
    </row>
    <row r="171" spans="3:11" ht="15.6">
      <c r="C171" s="646" t="s">
        <v>1248</v>
      </c>
      <c r="D171" s="647"/>
      <c r="E171" s="648"/>
      <c r="F171" s="452" t="s">
        <v>1112</v>
      </c>
      <c r="G171" s="452" t="s">
        <v>1219</v>
      </c>
      <c r="H171" s="452" t="s">
        <v>1220</v>
      </c>
      <c r="I171" s="459"/>
    </row>
    <row r="172" spans="3:11" ht="16.2" thickBot="1">
      <c r="C172" s="649"/>
      <c r="D172" s="650"/>
      <c r="E172" s="651"/>
      <c r="F172" s="453" t="s">
        <v>1114</v>
      </c>
      <c r="G172" s="453"/>
      <c r="H172" s="454" t="s">
        <v>305</v>
      </c>
      <c r="I172" s="459"/>
    </row>
    <row r="173" spans="3:11" ht="18.600000000000001" thickBot="1">
      <c r="C173" s="652" t="s">
        <v>1249</v>
      </c>
      <c r="D173" s="653"/>
      <c r="E173" s="654"/>
      <c r="F173" s="453">
        <v>19461.740000000002</v>
      </c>
      <c r="G173" s="468">
        <v>594</v>
      </c>
      <c r="H173" s="454">
        <f>+F173*G173</f>
        <v>11560273.560000001</v>
      </c>
      <c r="I173" s="459"/>
    </row>
    <row r="174" spans="3:11" ht="18.600000000000001" thickBot="1">
      <c r="C174" s="652" t="s">
        <v>1250</v>
      </c>
      <c r="D174" s="653"/>
      <c r="E174" s="654"/>
      <c r="F174" s="460">
        <v>3346</v>
      </c>
      <c r="G174" s="469">
        <v>1479</v>
      </c>
      <c r="H174" s="462">
        <f>+F174*G174</f>
        <v>4948734</v>
      </c>
      <c r="I174" s="463">
        <f>+H174*4+H173</f>
        <v>31355209.560000002</v>
      </c>
    </row>
    <row r="175" spans="3:11" ht="18">
      <c r="C175" s="439"/>
      <c r="D175" s="439"/>
      <c r="E175" s="439"/>
      <c r="F175" s="470"/>
      <c r="G175" s="471"/>
      <c r="H175" s="448"/>
      <c r="I175" s="472"/>
    </row>
    <row r="176" spans="3:11" ht="18">
      <c r="C176" s="439"/>
      <c r="D176" s="439"/>
      <c r="E176" s="439"/>
      <c r="F176" s="470"/>
      <c r="G176" s="471"/>
      <c r="H176" s="448"/>
      <c r="I176" s="472"/>
    </row>
    <row r="177" spans="3:9" ht="18">
      <c r="C177" s="439"/>
      <c r="D177" s="439"/>
      <c r="E177" s="439"/>
      <c r="F177" s="470"/>
      <c r="G177" s="471"/>
      <c r="H177" s="448"/>
      <c r="I177" s="472"/>
    </row>
    <row r="178" spans="3:9" ht="18">
      <c r="C178" s="439"/>
      <c r="D178" s="439"/>
      <c r="E178" s="439"/>
      <c r="F178" s="470"/>
      <c r="G178" s="471"/>
      <c r="H178" s="448"/>
      <c r="I178" s="472"/>
    </row>
    <row r="179" spans="3:9" ht="18">
      <c r="C179" s="439"/>
      <c r="D179" s="439"/>
      <c r="E179" s="439"/>
      <c r="F179" s="470"/>
      <c r="G179" s="471"/>
      <c r="H179" s="448"/>
      <c r="I179" s="472"/>
    </row>
    <row r="180" spans="3:9" ht="18">
      <c r="C180" s="439"/>
      <c r="D180" s="439"/>
      <c r="E180" s="439"/>
      <c r="F180" s="470"/>
      <c r="G180" s="471"/>
      <c r="H180" s="448"/>
      <c r="I180" s="472"/>
    </row>
    <row r="181" spans="3:9" ht="18">
      <c r="C181" s="439"/>
      <c r="D181" s="439"/>
      <c r="E181" s="439"/>
      <c r="F181" s="470"/>
      <c r="G181" s="471"/>
      <c r="H181" s="448"/>
      <c r="I181" s="472"/>
    </row>
    <row r="182" spans="3:9">
      <c r="C182" s="82"/>
      <c r="D182" s="82"/>
      <c r="E182" s="82"/>
      <c r="F182" s="82"/>
      <c r="G182" s="82"/>
      <c r="H182" s="82"/>
    </row>
    <row r="183" spans="3:9" ht="21">
      <c r="C183" s="473" t="s">
        <v>1251</v>
      </c>
      <c r="D183" s="82"/>
      <c r="E183" s="82"/>
      <c r="F183" s="82"/>
      <c r="G183" s="82"/>
      <c r="H183" s="82"/>
    </row>
    <row r="184" spans="3:9" ht="22.5" customHeight="1" thickBot="1"/>
    <row r="185" spans="3:9" ht="21">
      <c r="C185" s="474" t="s">
        <v>1144</v>
      </c>
      <c r="D185" s="475" t="s">
        <v>1145</v>
      </c>
      <c r="E185" s="475" t="s">
        <v>1147</v>
      </c>
      <c r="F185" s="475" t="s">
        <v>1252</v>
      </c>
      <c r="G185" s="476" t="s">
        <v>308</v>
      </c>
    </row>
    <row r="186" spans="3:9" ht="18">
      <c r="C186" s="356" t="s">
        <v>1253</v>
      </c>
      <c r="D186" s="357" t="s">
        <v>1254</v>
      </c>
      <c r="E186" s="357">
        <v>2014</v>
      </c>
      <c r="F186" s="357" t="s">
        <v>1255</v>
      </c>
      <c r="G186" s="355">
        <v>34</v>
      </c>
      <c r="H186" s="87"/>
    </row>
    <row r="187" spans="3:9" ht="18">
      <c r="C187" s="356" t="s">
        <v>1253</v>
      </c>
      <c r="D187" s="357" t="s">
        <v>1256</v>
      </c>
      <c r="E187" s="357">
        <v>1999</v>
      </c>
      <c r="F187" s="357" t="s">
        <v>1257</v>
      </c>
      <c r="G187" s="355">
        <v>32</v>
      </c>
      <c r="H187" s="87"/>
    </row>
    <row r="188" spans="3:9" ht="18">
      <c r="C188" s="356" t="s">
        <v>1253</v>
      </c>
      <c r="D188" s="357" t="s">
        <v>1254</v>
      </c>
      <c r="E188" s="357">
        <v>2013</v>
      </c>
      <c r="F188" s="357" t="s">
        <v>1258</v>
      </c>
      <c r="G188" s="355">
        <v>37</v>
      </c>
      <c r="H188" s="87"/>
    </row>
    <row r="189" spans="3:9" ht="18">
      <c r="C189" s="356" t="s">
        <v>1253</v>
      </c>
      <c r="D189" s="357" t="s">
        <v>1254</v>
      </c>
      <c r="E189" s="357">
        <v>2016</v>
      </c>
      <c r="F189" s="357" t="s">
        <v>1259</v>
      </c>
      <c r="G189" s="355">
        <v>80</v>
      </c>
      <c r="H189" s="87"/>
    </row>
    <row r="190" spans="3:9" ht="18">
      <c r="C190" s="356" t="s">
        <v>1260</v>
      </c>
      <c r="D190" s="357" t="s">
        <v>1261</v>
      </c>
      <c r="E190" s="357">
        <v>2015</v>
      </c>
      <c r="F190" s="357" t="s">
        <v>1259</v>
      </c>
      <c r="G190" s="355">
        <v>21</v>
      </c>
      <c r="H190" s="87"/>
    </row>
    <row r="191" spans="3:9" ht="18">
      <c r="C191" s="356" t="s">
        <v>1262</v>
      </c>
      <c r="D191" s="357" t="s">
        <v>1254</v>
      </c>
      <c r="E191" s="357">
        <v>2014</v>
      </c>
      <c r="F191" s="357" t="s">
        <v>1258</v>
      </c>
      <c r="G191" s="355">
        <v>100</v>
      </c>
      <c r="H191" s="87"/>
    </row>
    <row r="192" spans="3:9" ht="18.600000000000001" thickBot="1">
      <c r="C192" s="356" t="s">
        <v>1263</v>
      </c>
      <c r="D192" s="368" t="s">
        <v>1264</v>
      </c>
      <c r="E192" s="357">
        <v>2011</v>
      </c>
      <c r="F192" s="357" t="s">
        <v>1255</v>
      </c>
      <c r="G192" s="355">
        <v>94</v>
      </c>
      <c r="H192" s="87"/>
    </row>
    <row r="193" spans="3:8" ht="18">
      <c r="C193" s="356" t="s">
        <v>1136</v>
      </c>
      <c r="D193" s="357" t="s">
        <v>1254</v>
      </c>
      <c r="E193" s="357">
        <v>1999</v>
      </c>
      <c r="F193" s="357">
        <v>650</v>
      </c>
      <c r="G193" s="355">
        <v>3</v>
      </c>
      <c r="H193" s="87"/>
    </row>
    <row r="194" spans="3:8" ht="18">
      <c r="C194" s="356" t="s">
        <v>1136</v>
      </c>
      <c r="D194" s="357" t="s">
        <v>1254</v>
      </c>
      <c r="E194" s="357">
        <v>1999</v>
      </c>
      <c r="F194" s="357">
        <v>125</v>
      </c>
      <c r="G194" s="355">
        <v>9</v>
      </c>
      <c r="H194" s="87"/>
    </row>
    <row r="195" spans="3:8" ht="18">
      <c r="C195" s="356" t="s">
        <v>1136</v>
      </c>
      <c r="D195" s="357" t="s">
        <v>1254</v>
      </c>
      <c r="E195" s="357">
        <v>1999</v>
      </c>
      <c r="F195" s="357">
        <v>600</v>
      </c>
      <c r="G195" s="355">
        <v>1</v>
      </c>
      <c r="H195" s="87"/>
    </row>
    <row r="196" spans="3:8" ht="18">
      <c r="C196" s="356" t="s">
        <v>1265</v>
      </c>
      <c r="D196" s="357" t="s">
        <v>1254</v>
      </c>
      <c r="E196" s="357">
        <v>1999</v>
      </c>
      <c r="F196" s="357">
        <v>1100</v>
      </c>
      <c r="G196" s="355">
        <v>1</v>
      </c>
      <c r="H196" s="87"/>
    </row>
    <row r="197" spans="3:8" ht="18">
      <c r="C197" s="356" t="s">
        <v>1266</v>
      </c>
      <c r="D197" s="357" t="s">
        <v>1267</v>
      </c>
      <c r="E197" s="357">
        <v>2002</v>
      </c>
      <c r="F197" s="357" t="s">
        <v>1258</v>
      </c>
      <c r="G197" s="355">
        <v>103</v>
      </c>
      <c r="H197" s="87"/>
    </row>
    <row r="198" spans="3:8" ht="18">
      <c r="C198" s="356" t="s">
        <v>1265</v>
      </c>
      <c r="D198" s="357" t="s">
        <v>1268</v>
      </c>
      <c r="E198" s="357">
        <v>2012</v>
      </c>
      <c r="F198" s="357" t="s">
        <v>1255</v>
      </c>
      <c r="G198" s="355">
        <v>94</v>
      </c>
      <c r="H198" s="87"/>
    </row>
    <row r="199" spans="3:8" ht="18">
      <c r="C199" s="356" t="s">
        <v>1265</v>
      </c>
      <c r="D199" s="357" t="s">
        <v>1268</v>
      </c>
      <c r="E199" s="357">
        <v>2016</v>
      </c>
      <c r="F199" s="357" t="s">
        <v>1255</v>
      </c>
      <c r="G199" s="355">
        <v>38</v>
      </c>
      <c r="H199" s="87"/>
    </row>
    <row r="200" spans="3:8" ht="18">
      <c r="C200" s="356" t="s">
        <v>1265</v>
      </c>
      <c r="D200" s="357" t="s">
        <v>1254</v>
      </c>
      <c r="E200" s="357">
        <v>2014</v>
      </c>
      <c r="F200" s="357" t="s">
        <v>1269</v>
      </c>
      <c r="G200" s="355">
        <v>39</v>
      </c>
      <c r="H200" s="87"/>
    </row>
    <row r="201" spans="3:8" ht="18">
      <c r="C201" s="356" t="s">
        <v>1265</v>
      </c>
      <c r="D201" s="357" t="s">
        <v>1270</v>
      </c>
      <c r="E201" s="357" t="s">
        <v>1271</v>
      </c>
      <c r="F201" s="357" t="s">
        <v>1255</v>
      </c>
      <c r="G201" s="355">
        <v>2</v>
      </c>
      <c r="H201" s="87"/>
    </row>
    <row r="202" spans="3:8" ht="18">
      <c r="C202" s="356" t="s">
        <v>1272</v>
      </c>
      <c r="D202" s="357" t="s">
        <v>1273</v>
      </c>
      <c r="E202" s="357">
        <v>2010</v>
      </c>
      <c r="F202" s="357" t="s">
        <v>1255</v>
      </c>
      <c r="G202" s="355">
        <v>31</v>
      </c>
      <c r="H202" s="87"/>
    </row>
    <row r="203" spans="3:8" ht="18">
      <c r="C203" s="365" t="s">
        <v>1274</v>
      </c>
      <c r="D203" s="362" t="s">
        <v>1275</v>
      </c>
      <c r="E203" s="362">
        <v>2009</v>
      </c>
      <c r="F203" s="362" t="s">
        <v>1255</v>
      </c>
      <c r="G203" s="360">
        <v>1</v>
      </c>
      <c r="H203" s="87"/>
    </row>
    <row r="204" spans="3:8" ht="18">
      <c r="C204" s="365" t="s">
        <v>1276</v>
      </c>
      <c r="D204" s="362" t="s">
        <v>1275</v>
      </c>
      <c r="E204" s="362">
        <v>2014</v>
      </c>
      <c r="F204" s="362" t="s">
        <v>1255</v>
      </c>
      <c r="G204" s="360">
        <v>1</v>
      </c>
      <c r="H204" s="87"/>
    </row>
    <row r="205" spans="3:8" ht="18">
      <c r="C205" s="365" t="s">
        <v>1277</v>
      </c>
      <c r="D205" s="362" t="s">
        <v>1278</v>
      </c>
      <c r="E205" s="362">
        <v>2006</v>
      </c>
      <c r="F205" s="362" t="s">
        <v>1255</v>
      </c>
      <c r="G205" s="360">
        <v>1</v>
      </c>
      <c r="H205" s="87"/>
    </row>
    <row r="206" spans="3:8" ht="18.600000000000001" thickBot="1">
      <c r="C206" s="367" t="s">
        <v>1279</v>
      </c>
      <c r="D206" s="368" t="s">
        <v>1280</v>
      </c>
      <c r="E206" s="368">
        <v>2011</v>
      </c>
      <c r="F206" s="368" t="s">
        <v>1281</v>
      </c>
      <c r="G206" s="366">
        <v>8</v>
      </c>
      <c r="H206" s="87"/>
    </row>
    <row r="207" spans="3:8" ht="18">
      <c r="C207" s="334"/>
      <c r="D207" s="334"/>
      <c r="E207" s="334"/>
      <c r="F207" s="334"/>
      <c r="G207" s="334"/>
      <c r="H207" s="87"/>
    </row>
    <row r="208" spans="3:8" ht="18">
      <c r="C208" s="335"/>
      <c r="D208" s="335"/>
      <c r="E208" s="335"/>
      <c r="G208" s="335"/>
    </row>
    <row r="209" spans="1:10" ht="18.600000000000001" thickBot="1">
      <c r="C209" s="427" t="s">
        <v>0</v>
      </c>
      <c r="D209" s="423"/>
      <c r="E209" s="423"/>
      <c r="F209" s="477"/>
      <c r="G209" s="478">
        <v>730</v>
      </c>
      <c r="H209" s="477"/>
    </row>
    <row r="210" spans="1:10" ht="18">
      <c r="C210" s="427"/>
      <c r="D210" s="423"/>
      <c r="E210" s="423"/>
      <c r="F210" s="477"/>
      <c r="G210" s="427"/>
      <c r="H210" s="477"/>
    </row>
    <row r="211" spans="1:10" ht="18">
      <c r="C211" s="427"/>
      <c r="D211" s="423"/>
      <c r="E211" s="423"/>
      <c r="F211" s="477"/>
      <c r="G211" s="427"/>
      <c r="H211" s="477"/>
    </row>
    <row r="212" spans="1:10" ht="18">
      <c r="C212" s="427"/>
      <c r="D212" s="423"/>
      <c r="E212" s="423"/>
      <c r="F212" s="477"/>
      <c r="G212" s="427"/>
      <c r="H212" s="477"/>
    </row>
    <row r="213" spans="1:10" ht="18">
      <c r="C213" s="427"/>
      <c r="D213" s="423"/>
      <c r="E213" s="423"/>
      <c r="F213" s="477"/>
      <c r="G213" s="427"/>
      <c r="H213" s="477"/>
    </row>
    <row r="214" spans="1:10" ht="18">
      <c r="C214" s="427"/>
      <c r="D214" s="423"/>
      <c r="E214" s="423"/>
      <c r="F214" s="477"/>
      <c r="G214" s="427"/>
      <c r="H214" s="477"/>
    </row>
    <row r="215" spans="1:10" s="314" customFormat="1" ht="21.6" thickBot="1">
      <c r="A215" s="106"/>
      <c r="B215" s="106"/>
      <c r="C215" s="473" t="s">
        <v>1282</v>
      </c>
      <c r="D215" s="82"/>
      <c r="E215" s="82"/>
      <c r="F215" s="82"/>
      <c r="G215" s="82"/>
      <c r="H215" s="82"/>
      <c r="I215" s="106"/>
      <c r="J215" s="106"/>
    </row>
    <row r="216" spans="1:10" s="314" customFormat="1" ht="24" thickBot="1">
      <c r="C216" s="334"/>
      <c r="D216" s="334"/>
      <c r="E216" s="334"/>
      <c r="F216" s="334"/>
      <c r="G216" s="676" t="s">
        <v>1283</v>
      </c>
      <c r="H216" s="677"/>
      <c r="I216" s="677"/>
      <c r="J216" s="678"/>
    </row>
    <row r="217" spans="1:10" ht="21.6" thickBot="1">
      <c r="A217" s="314"/>
      <c r="B217" s="314"/>
      <c r="C217" s="334"/>
      <c r="D217" s="334"/>
      <c r="E217" s="334"/>
      <c r="F217" s="334"/>
      <c r="G217" s="312" t="s">
        <v>1110</v>
      </c>
      <c r="H217" s="313" t="s">
        <v>1111</v>
      </c>
      <c r="I217" s="313" t="s">
        <v>1284</v>
      </c>
      <c r="J217" s="371" t="s">
        <v>1112</v>
      </c>
    </row>
    <row r="218" spans="1:10" s="87" customFormat="1" ht="21.6" thickBot="1">
      <c r="A218" s="106"/>
      <c r="B218" s="352" t="s">
        <v>308</v>
      </c>
      <c r="C218" s="353" t="s">
        <v>1144</v>
      </c>
      <c r="D218" s="354" t="s">
        <v>1252</v>
      </c>
      <c r="E218" s="354" t="s">
        <v>1146</v>
      </c>
      <c r="F218" s="354" t="s">
        <v>1147</v>
      </c>
      <c r="G218" s="380" t="s">
        <v>1113</v>
      </c>
      <c r="H218" s="381" t="s">
        <v>1285</v>
      </c>
      <c r="I218" s="381" t="s">
        <v>1286</v>
      </c>
      <c r="J218" s="382" t="s">
        <v>305</v>
      </c>
    </row>
    <row r="219" spans="1:10" s="87" customFormat="1" ht="21">
      <c r="B219" s="355">
        <v>34</v>
      </c>
      <c r="C219" s="356" t="s">
        <v>1253</v>
      </c>
      <c r="D219" s="357" t="s">
        <v>1255</v>
      </c>
      <c r="E219" s="357" t="s">
        <v>1287</v>
      </c>
      <c r="F219" s="357">
        <v>2014</v>
      </c>
      <c r="G219" s="388">
        <v>204</v>
      </c>
      <c r="H219" s="388" t="s">
        <v>1288</v>
      </c>
      <c r="I219" s="328">
        <v>3000</v>
      </c>
      <c r="J219" s="389">
        <f>+G219*I219</f>
        <v>612000</v>
      </c>
    </row>
    <row r="220" spans="1:10" s="87" customFormat="1" ht="21">
      <c r="B220" s="355">
        <v>32</v>
      </c>
      <c r="C220" s="356" t="s">
        <v>1253</v>
      </c>
      <c r="D220" s="357" t="s">
        <v>1257</v>
      </c>
      <c r="E220" s="357" t="s">
        <v>1287</v>
      </c>
      <c r="F220" s="357">
        <v>1999</v>
      </c>
      <c r="G220" s="388">
        <v>192</v>
      </c>
      <c r="H220" s="388" t="s">
        <v>1289</v>
      </c>
      <c r="I220" s="328">
        <v>3500</v>
      </c>
      <c r="J220" s="389">
        <f t="shared" ref="J220:J238" si="6">+G220*I220</f>
        <v>672000</v>
      </c>
    </row>
    <row r="221" spans="1:10" s="87" customFormat="1" ht="21">
      <c r="B221" s="355">
        <v>37</v>
      </c>
      <c r="C221" s="356" t="s">
        <v>1253</v>
      </c>
      <c r="D221" s="357" t="s">
        <v>1258</v>
      </c>
      <c r="E221" s="357" t="s">
        <v>1287</v>
      </c>
      <c r="F221" s="357">
        <v>2013</v>
      </c>
      <c r="G221" s="388">
        <v>222</v>
      </c>
      <c r="H221" s="388" t="s">
        <v>1290</v>
      </c>
      <c r="I221" s="328">
        <v>4800</v>
      </c>
      <c r="J221" s="389">
        <f t="shared" si="6"/>
        <v>1065600</v>
      </c>
    </row>
    <row r="222" spans="1:10" s="87" customFormat="1" ht="21">
      <c r="B222" s="355">
        <v>70</v>
      </c>
      <c r="C222" s="356" t="s">
        <v>1253</v>
      </c>
      <c r="D222" s="357" t="s">
        <v>1259</v>
      </c>
      <c r="E222" s="357" t="s">
        <v>1287</v>
      </c>
      <c r="F222" s="357">
        <v>2016</v>
      </c>
      <c r="G222" s="388">
        <v>420</v>
      </c>
      <c r="H222" s="388" t="s">
        <v>1291</v>
      </c>
      <c r="I222" s="328">
        <v>2800</v>
      </c>
      <c r="J222" s="389">
        <f t="shared" si="6"/>
        <v>1176000</v>
      </c>
    </row>
    <row r="223" spans="1:10" s="87" customFormat="1" ht="21">
      <c r="B223" s="355">
        <v>21</v>
      </c>
      <c r="C223" s="356" t="s">
        <v>1260</v>
      </c>
      <c r="D223" s="357" t="s">
        <v>1259</v>
      </c>
      <c r="E223" s="357" t="s">
        <v>1287</v>
      </c>
      <c r="F223" s="357">
        <v>2015</v>
      </c>
      <c r="G223" s="388">
        <v>126</v>
      </c>
      <c r="H223" s="388" t="s">
        <v>1288</v>
      </c>
      <c r="I223" s="328">
        <v>3000</v>
      </c>
      <c r="J223" s="389">
        <f t="shared" si="6"/>
        <v>378000</v>
      </c>
    </row>
    <row r="224" spans="1:10" s="87" customFormat="1" ht="21">
      <c r="B224" s="355">
        <v>100</v>
      </c>
      <c r="C224" s="356" t="s">
        <v>1262</v>
      </c>
      <c r="D224" s="357" t="s">
        <v>1258</v>
      </c>
      <c r="E224" s="357" t="s">
        <v>1287</v>
      </c>
      <c r="F224" s="357">
        <v>2014</v>
      </c>
      <c r="G224" s="388">
        <v>600</v>
      </c>
      <c r="H224" s="388" t="s">
        <v>1292</v>
      </c>
      <c r="I224" s="328">
        <v>3500</v>
      </c>
      <c r="J224" s="389">
        <f t="shared" si="6"/>
        <v>2100000</v>
      </c>
    </row>
    <row r="225" spans="1:10" s="87" customFormat="1" ht="21">
      <c r="B225" s="355">
        <v>94</v>
      </c>
      <c r="C225" s="356" t="s">
        <v>1263</v>
      </c>
      <c r="D225" s="357" t="s">
        <v>1255</v>
      </c>
      <c r="E225" s="357" t="s">
        <v>1287</v>
      </c>
      <c r="F225" s="357">
        <v>2011</v>
      </c>
      <c r="G225" s="388">
        <v>564</v>
      </c>
      <c r="H225" s="388" t="s">
        <v>1293</v>
      </c>
      <c r="I225" s="328">
        <v>3800</v>
      </c>
      <c r="J225" s="389">
        <f t="shared" si="6"/>
        <v>2143200</v>
      </c>
    </row>
    <row r="226" spans="1:10" s="87" customFormat="1" ht="21">
      <c r="B226" s="355">
        <v>3</v>
      </c>
      <c r="C226" s="356" t="s">
        <v>1136</v>
      </c>
      <c r="D226" s="357" t="s">
        <v>1257</v>
      </c>
      <c r="E226" s="357" t="s">
        <v>1287</v>
      </c>
      <c r="F226" s="357">
        <v>1999</v>
      </c>
      <c r="G226" s="388">
        <v>18</v>
      </c>
      <c r="H226" s="388" t="s">
        <v>1294</v>
      </c>
      <c r="I226" s="328">
        <v>3000</v>
      </c>
      <c r="J226" s="389">
        <f t="shared" si="6"/>
        <v>54000</v>
      </c>
    </row>
    <row r="227" spans="1:10" s="87" customFormat="1" ht="21">
      <c r="B227" s="355">
        <v>9</v>
      </c>
      <c r="C227" s="356" t="s">
        <v>1136</v>
      </c>
      <c r="D227" s="357" t="s">
        <v>1255</v>
      </c>
      <c r="E227" s="357" t="s">
        <v>1287</v>
      </c>
      <c r="F227" s="357">
        <v>1999</v>
      </c>
      <c r="G227" s="388">
        <v>104</v>
      </c>
      <c r="H227" s="388" t="s">
        <v>1295</v>
      </c>
      <c r="I227" s="328">
        <v>3500</v>
      </c>
      <c r="J227" s="389">
        <f t="shared" si="6"/>
        <v>364000</v>
      </c>
    </row>
    <row r="228" spans="1:10" s="87" customFormat="1" ht="21">
      <c r="B228" s="355">
        <v>1</v>
      </c>
      <c r="C228" s="356" t="s">
        <v>1136</v>
      </c>
      <c r="D228" s="357" t="s">
        <v>1296</v>
      </c>
      <c r="E228" s="357" t="s">
        <v>1287</v>
      </c>
      <c r="F228" s="357">
        <v>1999</v>
      </c>
      <c r="G228" s="388">
        <v>6</v>
      </c>
      <c r="H228" s="388" t="s">
        <v>1297</v>
      </c>
      <c r="I228" s="328">
        <v>2850</v>
      </c>
      <c r="J228" s="389">
        <f t="shared" si="6"/>
        <v>17100</v>
      </c>
    </row>
    <row r="229" spans="1:10" s="87" customFormat="1" ht="21">
      <c r="B229" s="355">
        <v>1</v>
      </c>
      <c r="C229" s="356" t="s">
        <v>1265</v>
      </c>
      <c r="D229" s="357" t="s">
        <v>1298</v>
      </c>
      <c r="E229" s="357" t="s">
        <v>1287</v>
      </c>
      <c r="F229" s="357">
        <v>1999</v>
      </c>
      <c r="G229" s="388">
        <v>6</v>
      </c>
      <c r="H229" s="388" t="s">
        <v>1299</v>
      </c>
      <c r="I229" s="328">
        <v>3000</v>
      </c>
      <c r="J229" s="389">
        <f t="shared" si="6"/>
        <v>18000</v>
      </c>
    </row>
    <row r="230" spans="1:10" s="87" customFormat="1" ht="21">
      <c r="B230" s="355">
        <v>103</v>
      </c>
      <c r="C230" s="356" t="s">
        <v>1266</v>
      </c>
      <c r="D230" s="357" t="s">
        <v>1258</v>
      </c>
      <c r="E230" s="357" t="s">
        <v>1287</v>
      </c>
      <c r="F230" s="357">
        <v>2002</v>
      </c>
      <c r="G230" s="388">
        <v>618</v>
      </c>
      <c r="H230" s="388" t="s">
        <v>1295</v>
      </c>
      <c r="I230" s="328">
        <v>2800</v>
      </c>
      <c r="J230" s="389">
        <f t="shared" si="6"/>
        <v>1730400</v>
      </c>
    </row>
    <row r="231" spans="1:10" s="87" customFormat="1" ht="21">
      <c r="B231" s="355">
        <v>94</v>
      </c>
      <c r="C231" s="356" t="s">
        <v>1265</v>
      </c>
      <c r="D231" s="357" t="s">
        <v>1255</v>
      </c>
      <c r="E231" s="357" t="s">
        <v>1287</v>
      </c>
      <c r="F231" s="357">
        <v>2012</v>
      </c>
      <c r="G231" s="388">
        <v>564</v>
      </c>
      <c r="H231" s="388" t="s">
        <v>1295</v>
      </c>
      <c r="I231" s="328">
        <v>4800</v>
      </c>
      <c r="J231" s="389">
        <f t="shared" si="6"/>
        <v>2707200</v>
      </c>
    </row>
    <row r="232" spans="1:10" s="87" customFormat="1" ht="21">
      <c r="B232" s="355">
        <v>38</v>
      </c>
      <c r="C232" s="356" t="s">
        <v>1265</v>
      </c>
      <c r="D232" s="357" t="s">
        <v>1255</v>
      </c>
      <c r="E232" s="357" t="s">
        <v>1287</v>
      </c>
      <c r="F232" s="357">
        <v>2016</v>
      </c>
      <c r="G232" s="388">
        <v>228</v>
      </c>
      <c r="H232" s="388" t="s">
        <v>1295</v>
      </c>
      <c r="I232" s="328">
        <v>2700</v>
      </c>
      <c r="J232" s="389">
        <f t="shared" si="6"/>
        <v>615600</v>
      </c>
    </row>
    <row r="233" spans="1:10" s="87" customFormat="1" ht="21">
      <c r="B233" s="355">
        <v>39</v>
      </c>
      <c r="C233" s="356" t="s">
        <v>1265</v>
      </c>
      <c r="D233" s="357" t="s">
        <v>1269</v>
      </c>
      <c r="E233" s="357" t="s">
        <v>1287</v>
      </c>
      <c r="F233" s="357">
        <v>2014</v>
      </c>
      <c r="G233" s="388">
        <v>234</v>
      </c>
      <c r="H233" s="388" t="s">
        <v>1300</v>
      </c>
      <c r="I233" s="328">
        <v>3000</v>
      </c>
      <c r="J233" s="389">
        <f t="shared" si="6"/>
        <v>702000</v>
      </c>
    </row>
    <row r="234" spans="1:10" s="87" customFormat="1" ht="21">
      <c r="B234" s="355">
        <v>2</v>
      </c>
      <c r="C234" s="356" t="s">
        <v>1265</v>
      </c>
      <c r="D234" s="357" t="s">
        <v>1255</v>
      </c>
      <c r="E234" s="357" t="s">
        <v>1287</v>
      </c>
      <c r="F234" s="357" t="s">
        <v>1271</v>
      </c>
      <c r="G234" s="388">
        <v>12</v>
      </c>
      <c r="H234" s="388" t="s">
        <v>1295</v>
      </c>
      <c r="I234" s="328">
        <v>2950</v>
      </c>
      <c r="J234" s="389">
        <f t="shared" si="6"/>
        <v>35400</v>
      </c>
    </row>
    <row r="235" spans="1:10" s="87" customFormat="1" ht="21">
      <c r="B235" s="355">
        <v>39</v>
      </c>
      <c r="C235" s="356" t="s">
        <v>1272</v>
      </c>
      <c r="D235" s="357" t="s">
        <v>1255</v>
      </c>
      <c r="E235" s="357" t="s">
        <v>1287</v>
      </c>
      <c r="F235" s="357">
        <v>2010</v>
      </c>
      <c r="G235" s="388">
        <v>234</v>
      </c>
      <c r="H235" s="388" t="s">
        <v>1301</v>
      </c>
      <c r="I235" s="328">
        <v>3500</v>
      </c>
      <c r="J235" s="389">
        <f t="shared" si="6"/>
        <v>819000</v>
      </c>
    </row>
    <row r="236" spans="1:10" s="87" customFormat="1" ht="21">
      <c r="B236" s="360">
        <v>1</v>
      </c>
      <c r="C236" s="365" t="s">
        <v>1274</v>
      </c>
      <c r="D236" s="362" t="s">
        <v>1255</v>
      </c>
      <c r="E236" s="357" t="s">
        <v>1287</v>
      </c>
      <c r="F236" s="362">
        <v>2009</v>
      </c>
      <c r="G236" s="388">
        <v>6</v>
      </c>
      <c r="H236" s="388" t="s">
        <v>1302</v>
      </c>
      <c r="I236" s="328">
        <v>3500</v>
      </c>
      <c r="J236" s="389">
        <f t="shared" si="6"/>
        <v>21000</v>
      </c>
    </row>
    <row r="237" spans="1:10" s="87" customFormat="1" ht="21">
      <c r="B237" s="360">
        <v>1</v>
      </c>
      <c r="C237" s="365" t="s">
        <v>1276</v>
      </c>
      <c r="D237" s="362" t="s">
        <v>1255</v>
      </c>
      <c r="E237" s="357" t="s">
        <v>1287</v>
      </c>
      <c r="F237" s="362">
        <v>2014</v>
      </c>
      <c r="G237" s="388">
        <v>6</v>
      </c>
      <c r="H237" s="388" t="s">
        <v>1302</v>
      </c>
      <c r="I237" s="328">
        <v>3500</v>
      </c>
      <c r="J237" s="389">
        <f t="shared" si="6"/>
        <v>21000</v>
      </c>
    </row>
    <row r="238" spans="1:10" s="87" customFormat="1" ht="21">
      <c r="B238" s="355">
        <v>1</v>
      </c>
      <c r="C238" s="356" t="s">
        <v>1277</v>
      </c>
      <c r="D238" s="357" t="s">
        <v>1255</v>
      </c>
      <c r="E238" s="357" t="s">
        <v>1287</v>
      </c>
      <c r="F238" s="357">
        <v>2006</v>
      </c>
      <c r="G238" s="388">
        <v>6</v>
      </c>
      <c r="H238" s="388" t="s">
        <v>1302</v>
      </c>
      <c r="I238" s="328">
        <v>3500</v>
      </c>
      <c r="J238" s="389">
        <f t="shared" si="6"/>
        <v>21000</v>
      </c>
    </row>
    <row r="239" spans="1:10" s="410" customFormat="1" ht="21.6" hidden="1" thickBot="1">
      <c r="A239" s="87"/>
      <c r="B239" s="366">
        <v>10</v>
      </c>
      <c r="C239" s="367" t="s">
        <v>1279</v>
      </c>
      <c r="D239" s="368" t="s">
        <v>1281</v>
      </c>
      <c r="E239" s="357" t="s">
        <v>1287</v>
      </c>
      <c r="F239" s="368">
        <v>2011</v>
      </c>
      <c r="G239" s="388"/>
      <c r="H239" s="388"/>
      <c r="I239" s="328"/>
      <c r="J239" s="389"/>
    </row>
    <row r="240" spans="1:10" ht="18" hidden="1">
      <c r="A240" s="410"/>
      <c r="B240" s="410"/>
      <c r="C240" s="335"/>
      <c r="D240" s="335"/>
      <c r="E240" s="335"/>
      <c r="F240" s="335"/>
      <c r="G240" s="335">
        <f>SUM(G219:G239)</f>
        <v>4370</v>
      </c>
      <c r="H240" s="335"/>
      <c r="I240" s="410"/>
      <c r="J240" s="411">
        <f>SUM(J219:J239)</f>
        <v>15272500</v>
      </c>
    </row>
    <row r="241" spans="1:10" ht="18" hidden="1">
      <c r="G241" s="241"/>
    </row>
    <row r="242" spans="1:10" ht="18" hidden="1">
      <c r="G242" s="241"/>
    </row>
    <row r="243" spans="1:10" ht="18" hidden="1">
      <c r="G243" s="241"/>
    </row>
    <row r="244" spans="1:10" ht="16.5" customHeight="1">
      <c r="G244" s="241"/>
    </row>
    <row r="245" spans="1:10" ht="21">
      <c r="F245" s="349" t="s">
        <v>305</v>
      </c>
      <c r="G245" s="479">
        <v>4370</v>
      </c>
      <c r="J245" s="413">
        <f>SUM(J219:J238)</f>
        <v>15272500</v>
      </c>
    </row>
    <row r="246" spans="1:10" ht="21">
      <c r="F246" s="349"/>
      <c r="G246" s="479"/>
      <c r="J246" s="480"/>
    </row>
    <row r="247" spans="1:10" ht="21">
      <c r="F247" s="349"/>
      <c r="G247" s="479"/>
      <c r="J247" s="480"/>
    </row>
    <row r="248" spans="1:10" s="314" customFormat="1" ht="18.600000000000001" thickBot="1">
      <c r="A248" s="106"/>
      <c r="B248" s="106"/>
      <c r="C248" s="335"/>
      <c r="D248" s="481"/>
      <c r="E248" s="481"/>
      <c r="F248" s="481"/>
      <c r="G248" s="106"/>
      <c r="H248" s="106"/>
      <c r="I248" s="106"/>
      <c r="J248" s="106"/>
    </row>
    <row r="249" spans="1:10" s="314" customFormat="1" ht="24" thickBot="1">
      <c r="C249" s="334"/>
      <c r="D249" s="334"/>
      <c r="E249" s="334"/>
      <c r="F249" s="334"/>
      <c r="G249" s="676" t="s">
        <v>1303</v>
      </c>
      <c r="H249" s="677"/>
      <c r="I249" s="677"/>
      <c r="J249" s="678"/>
    </row>
    <row r="250" spans="1:10" ht="21.6" thickBot="1">
      <c r="A250" s="314"/>
      <c r="B250" s="314"/>
      <c r="C250" s="334"/>
      <c r="D250" s="334"/>
      <c r="E250" s="334"/>
      <c r="F250" s="334"/>
      <c r="G250" s="312" t="s">
        <v>1110</v>
      </c>
      <c r="H250" s="313" t="s">
        <v>1111</v>
      </c>
      <c r="I250" s="313" t="s">
        <v>1112</v>
      </c>
      <c r="J250" s="371" t="s">
        <v>1112</v>
      </c>
    </row>
    <row r="251" spans="1:10" s="87" customFormat="1" ht="21.6" thickBot="1">
      <c r="A251" s="106"/>
      <c r="B251" s="352" t="s">
        <v>308</v>
      </c>
      <c r="C251" s="353" t="s">
        <v>1144</v>
      </c>
      <c r="D251" s="354" t="s">
        <v>1252</v>
      </c>
      <c r="E251" s="354" t="s">
        <v>1146</v>
      </c>
      <c r="F251" s="354" t="s">
        <v>1147</v>
      </c>
      <c r="G251" s="380" t="s">
        <v>1304</v>
      </c>
      <c r="H251" s="381" t="s">
        <v>1305</v>
      </c>
      <c r="I251" s="381" t="s">
        <v>1114</v>
      </c>
      <c r="J251" s="382" t="s">
        <v>305</v>
      </c>
    </row>
    <row r="252" spans="1:10" s="87" customFormat="1" ht="21">
      <c r="B252" s="355">
        <v>34</v>
      </c>
      <c r="C252" s="356" t="s">
        <v>1253</v>
      </c>
      <c r="D252" s="357" t="s">
        <v>1255</v>
      </c>
      <c r="E252" s="357" t="s">
        <v>1287</v>
      </c>
      <c r="F252" s="357">
        <v>2014</v>
      </c>
      <c r="G252" s="388">
        <v>204</v>
      </c>
      <c r="H252" s="388" t="s">
        <v>1306</v>
      </c>
      <c r="I252" s="328">
        <v>2850</v>
      </c>
      <c r="J252" s="389">
        <f>+G252*I252</f>
        <v>581400</v>
      </c>
    </row>
    <row r="253" spans="1:10" s="87" customFormat="1" ht="21">
      <c r="B253" s="355">
        <v>32</v>
      </c>
      <c r="C253" s="356" t="s">
        <v>1253</v>
      </c>
      <c r="D253" s="357" t="s">
        <v>1257</v>
      </c>
      <c r="E253" s="357" t="s">
        <v>1287</v>
      </c>
      <c r="F253" s="357">
        <v>1999</v>
      </c>
      <c r="G253" s="388">
        <v>192</v>
      </c>
      <c r="H253" s="388" t="s">
        <v>1307</v>
      </c>
      <c r="I253" s="328">
        <v>3050</v>
      </c>
      <c r="J253" s="389">
        <f t="shared" ref="J253:J276" si="7">+G253*I253</f>
        <v>585600</v>
      </c>
    </row>
    <row r="254" spans="1:10" s="87" customFormat="1" ht="21">
      <c r="B254" s="355">
        <v>37</v>
      </c>
      <c r="C254" s="356" t="s">
        <v>1253</v>
      </c>
      <c r="D254" s="357" t="s">
        <v>1258</v>
      </c>
      <c r="E254" s="357" t="s">
        <v>1287</v>
      </c>
      <c r="F254" s="357">
        <v>2013</v>
      </c>
      <c r="G254" s="388">
        <v>222</v>
      </c>
      <c r="H254" s="388" t="s">
        <v>1308</v>
      </c>
      <c r="I254" s="328">
        <v>3150</v>
      </c>
      <c r="J254" s="389">
        <f t="shared" si="7"/>
        <v>699300</v>
      </c>
    </row>
    <row r="255" spans="1:10" s="87" customFormat="1" ht="21">
      <c r="B255" s="355">
        <v>70</v>
      </c>
      <c r="C255" s="356" t="s">
        <v>1253</v>
      </c>
      <c r="D255" s="357" t="s">
        <v>1259</v>
      </c>
      <c r="E255" s="357" t="s">
        <v>1287</v>
      </c>
      <c r="F255" s="357">
        <v>2016</v>
      </c>
      <c r="G255" s="388">
        <v>420</v>
      </c>
      <c r="H255" s="388" t="s">
        <v>1309</v>
      </c>
      <c r="I255" s="328">
        <v>3100</v>
      </c>
      <c r="J255" s="389">
        <f t="shared" si="7"/>
        <v>1302000</v>
      </c>
    </row>
    <row r="256" spans="1:10" s="87" customFormat="1" ht="21">
      <c r="B256" s="355">
        <v>21</v>
      </c>
      <c r="C256" s="356" t="s">
        <v>1260</v>
      </c>
      <c r="D256" s="357" t="s">
        <v>1259</v>
      </c>
      <c r="E256" s="357" t="s">
        <v>1287</v>
      </c>
      <c r="F256" s="357">
        <v>2015</v>
      </c>
      <c r="G256" s="388">
        <v>126</v>
      </c>
      <c r="H256" s="388" t="s">
        <v>1308</v>
      </c>
      <c r="I256" s="328">
        <v>3150</v>
      </c>
      <c r="J256" s="389">
        <f t="shared" si="7"/>
        <v>396900</v>
      </c>
    </row>
    <row r="257" spans="1:10" s="87" customFormat="1" ht="21">
      <c r="B257" s="355">
        <v>100</v>
      </c>
      <c r="C257" s="356" t="s">
        <v>1262</v>
      </c>
      <c r="D257" s="357" t="s">
        <v>1258</v>
      </c>
      <c r="E257" s="357" t="s">
        <v>1287</v>
      </c>
      <c r="F257" s="357">
        <v>2014</v>
      </c>
      <c r="G257" s="388">
        <v>600</v>
      </c>
      <c r="H257" s="388" t="s">
        <v>1310</v>
      </c>
      <c r="I257" s="328">
        <v>3000</v>
      </c>
      <c r="J257" s="389">
        <f t="shared" si="7"/>
        <v>1800000</v>
      </c>
    </row>
    <row r="258" spans="1:10" s="87" customFormat="1" ht="21">
      <c r="B258" s="355">
        <v>94</v>
      </c>
      <c r="C258" s="356" t="s">
        <v>1263</v>
      </c>
      <c r="D258" s="357" t="s">
        <v>1255</v>
      </c>
      <c r="E258" s="357" t="s">
        <v>1287</v>
      </c>
      <c r="F258" s="357">
        <v>2011</v>
      </c>
      <c r="G258" s="388">
        <v>564</v>
      </c>
      <c r="H258" s="388" t="s">
        <v>1311</v>
      </c>
      <c r="I258" s="328">
        <v>3900</v>
      </c>
      <c r="J258" s="389">
        <f t="shared" si="7"/>
        <v>2199600</v>
      </c>
    </row>
    <row r="259" spans="1:10" s="87" customFormat="1" ht="21">
      <c r="B259" s="355">
        <v>3</v>
      </c>
      <c r="C259" s="356" t="s">
        <v>1136</v>
      </c>
      <c r="D259" s="357" t="s">
        <v>1257</v>
      </c>
      <c r="E259" s="357" t="s">
        <v>1287</v>
      </c>
      <c r="F259" s="357">
        <v>1999</v>
      </c>
      <c r="G259" s="388">
        <v>18</v>
      </c>
      <c r="H259" s="388" t="s">
        <v>1312</v>
      </c>
      <c r="I259" s="328">
        <v>3000</v>
      </c>
      <c r="J259" s="389">
        <f t="shared" si="7"/>
        <v>54000</v>
      </c>
    </row>
    <row r="260" spans="1:10" s="87" customFormat="1" ht="21">
      <c r="B260" s="355">
        <v>9</v>
      </c>
      <c r="C260" s="356" t="s">
        <v>1136</v>
      </c>
      <c r="D260" s="357" t="s">
        <v>1255</v>
      </c>
      <c r="E260" s="357" t="s">
        <v>1287</v>
      </c>
      <c r="F260" s="357">
        <v>1999</v>
      </c>
      <c r="G260" s="388">
        <v>104</v>
      </c>
      <c r="H260" s="388" t="s">
        <v>1313</v>
      </c>
      <c r="I260" s="328">
        <v>3000</v>
      </c>
      <c r="J260" s="389">
        <f t="shared" si="7"/>
        <v>312000</v>
      </c>
    </row>
    <row r="261" spans="1:10" s="87" customFormat="1" ht="21">
      <c r="B261" s="355">
        <v>1</v>
      </c>
      <c r="C261" s="356" t="s">
        <v>1136</v>
      </c>
      <c r="D261" s="357" t="s">
        <v>1296</v>
      </c>
      <c r="E261" s="357" t="s">
        <v>1287</v>
      </c>
      <c r="F261" s="357">
        <v>1999</v>
      </c>
      <c r="G261" s="388">
        <v>6</v>
      </c>
      <c r="H261" s="388" t="s">
        <v>1312</v>
      </c>
      <c r="I261" s="328">
        <v>3200</v>
      </c>
      <c r="J261" s="389">
        <f t="shared" si="7"/>
        <v>19200</v>
      </c>
    </row>
    <row r="262" spans="1:10" s="87" customFormat="1" ht="21">
      <c r="B262" s="355">
        <v>1</v>
      </c>
      <c r="C262" s="356" t="s">
        <v>1265</v>
      </c>
      <c r="D262" s="357" t="s">
        <v>1298</v>
      </c>
      <c r="E262" s="357" t="s">
        <v>1287</v>
      </c>
      <c r="F262" s="357">
        <v>1999</v>
      </c>
      <c r="G262" s="388">
        <v>6</v>
      </c>
      <c r="H262" s="388" t="s">
        <v>1312</v>
      </c>
      <c r="I262" s="328">
        <v>3200</v>
      </c>
      <c r="J262" s="389">
        <f t="shared" si="7"/>
        <v>19200</v>
      </c>
    </row>
    <row r="263" spans="1:10" s="87" customFormat="1" ht="21">
      <c r="B263" s="355">
        <v>103</v>
      </c>
      <c r="C263" s="356" t="s">
        <v>1266</v>
      </c>
      <c r="D263" s="357" t="s">
        <v>1258</v>
      </c>
      <c r="E263" s="357" t="s">
        <v>1287</v>
      </c>
      <c r="F263" s="357">
        <v>2002</v>
      </c>
      <c r="G263" s="388">
        <v>618</v>
      </c>
      <c r="H263" s="388" t="s">
        <v>1314</v>
      </c>
      <c r="I263" s="328">
        <v>3000</v>
      </c>
      <c r="J263" s="389">
        <f t="shared" si="7"/>
        <v>1854000</v>
      </c>
    </row>
    <row r="264" spans="1:10" s="87" customFormat="1" ht="21">
      <c r="B264" s="355">
        <v>94</v>
      </c>
      <c r="C264" s="356" t="s">
        <v>1265</v>
      </c>
      <c r="D264" s="357" t="s">
        <v>1255</v>
      </c>
      <c r="E264" s="357" t="s">
        <v>1287</v>
      </c>
      <c r="F264" s="357">
        <v>2012</v>
      </c>
      <c r="G264" s="388">
        <v>564</v>
      </c>
      <c r="H264" s="388" t="s">
        <v>1315</v>
      </c>
      <c r="I264" s="328">
        <v>3000</v>
      </c>
      <c r="J264" s="389">
        <f t="shared" si="7"/>
        <v>1692000</v>
      </c>
    </row>
    <row r="265" spans="1:10" s="87" customFormat="1" ht="21">
      <c r="B265" s="355">
        <v>38</v>
      </c>
      <c r="C265" s="356" t="s">
        <v>1265</v>
      </c>
      <c r="D265" s="357" t="s">
        <v>1255</v>
      </c>
      <c r="E265" s="357" t="s">
        <v>1287</v>
      </c>
      <c r="F265" s="357">
        <v>2016</v>
      </c>
      <c r="G265" s="388">
        <v>228</v>
      </c>
      <c r="H265" s="388" t="s">
        <v>1315</v>
      </c>
      <c r="I265" s="328">
        <v>3000</v>
      </c>
      <c r="J265" s="389">
        <f t="shared" si="7"/>
        <v>684000</v>
      </c>
    </row>
    <row r="266" spans="1:10" s="87" customFormat="1" ht="21">
      <c r="B266" s="355">
        <v>39</v>
      </c>
      <c r="C266" s="356" t="s">
        <v>1265</v>
      </c>
      <c r="D266" s="357" t="s">
        <v>1269</v>
      </c>
      <c r="E266" s="357" t="s">
        <v>1287</v>
      </c>
      <c r="F266" s="357">
        <v>2014</v>
      </c>
      <c r="G266" s="388">
        <v>234</v>
      </c>
      <c r="H266" s="388" t="s">
        <v>1316</v>
      </c>
      <c r="I266" s="328">
        <v>2950</v>
      </c>
      <c r="J266" s="389">
        <f t="shared" si="7"/>
        <v>690300</v>
      </c>
    </row>
    <row r="267" spans="1:10" s="87" customFormat="1" ht="21">
      <c r="B267" s="355">
        <v>2</v>
      </c>
      <c r="C267" s="356" t="s">
        <v>1265</v>
      </c>
      <c r="D267" s="357" t="s">
        <v>1255</v>
      </c>
      <c r="E267" s="357" t="s">
        <v>1287</v>
      </c>
      <c r="F267" s="357" t="s">
        <v>1271</v>
      </c>
      <c r="G267" s="388">
        <v>12</v>
      </c>
      <c r="H267" s="388" t="s">
        <v>1315</v>
      </c>
      <c r="I267" s="328">
        <v>3000</v>
      </c>
      <c r="J267" s="389">
        <f t="shared" si="7"/>
        <v>36000</v>
      </c>
    </row>
    <row r="268" spans="1:10" s="87" customFormat="1" ht="21">
      <c r="B268" s="355">
        <v>39</v>
      </c>
      <c r="C268" s="356" t="s">
        <v>1272</v>
      </c>
      <c r="D268" s="357" t="s">
        <v>1255</v>
      </c>
      <c r="E268" s="357" t="s">
        <v>1287</v>
      </c>
      <c r="F268" s="357">
        <v>2010</v>
      </c>
      <c r="G268" s="388">
        <v>234</v>
      </c>
      <c r="H268" s="388" t="s">
        <v>1315</v>
      </c>
      <c r="I268" s="328">
        <v>3000</v>
      </c>
      <c r="J268" s="389">
        <f t="shared" si="7"/>
        <v>702000</v>
      </c>
    </row>
    <row r="269" spans="1:10" s="87" customFormat="1" ht="21">
      <c r="B269" s="360">
        <v>1</v>
      </c>
      <c r="C269" s="365" t="s">
        <v>1274</v>
      </c>
      <c r="D269" s="362" t="s">
        <v>1255</v>
      </c>
      <c r="E269" s="357" t="s">
        <v>1287</v>
      </c>
      <c r="F269" s="362">
        <v>2009</v>
      </c>
      <c r="G269" s="388">
        <v>6</v>
      </c>
      <c r="H269" s="388" t="s">
        <v>1311</v>
      </c>
      <c r="I269" s="328">
        <v>2900</v>
      </c>
      <c r="J269" s="389">
        <f t="shared" si="7"/>
        <v>17400</v>
      </c>
    </row>
    <row r="270" spans="1:10" s="87" customFormat="1" ht="21">
      <c r="B270" s="360">
        <v>1</v>
      </c>
      <c r="C270" s="365" t="s">
        <v>1276</v>
      </c>
      <c r="D270" s="362" t="s">
        <v>1255</v>
      </c>
      <c r="E270" s="357" t="s">
        <v>1287</v>
      </c>
      <c r="F270" s="362">
        <v>2014</v>
      </c>
      <c r="G270" s="388">
        <v>6</v>
      </c>
      <c r="H270" s="388" t="s">
        <v>1311</v>
      </c>
      <c r="I270" s="328">
        <v>2900</v>
      </c>
      <c r="J270" s="389">
        <f t="shared" si="7"/>
        <v>17400</v>
      </c>
    </row>
    <row r="271" spans="1:10" s="87" customFormat="1" ht="21">
      <c r="B271" s="355">
        <v>1</v>
      </c>
      <c r="C271" s="356" t="s">
        <v>1277</v>
      </c>
      <c r="D271" s="357" t="s">
        <v>1255</v>
      </c>
      <c r="E271" s="357" t="s">
        <v>1287</v>
      </c>
      <c r="F271" s="357">
        <v>2006</v>
      </c>
      <c r="G271" s="388">
        <v>6</v>
      </c>
      <c r="H271" s="388" t="s">
        <v>1311</v>
      </c>
      <c r="I271" s="328">
        <v>29000</v>
      </c>
      <c r="J271" s="389">
        <f t="shared" si="7"/>
        <v>174000</v>
      </c>
    </row>
    <row r="272" spans="1:10" s="410" customFormat="1" ht="21.6" hidden="1" thickBot="1">
      <c r="A272" s="87"/>
      <c r="B272" s="366">
        <v>10</v>
      </c>
      <c r="C272" s="367" t="s">
        <v>1279</v>
      </c>
      <c r="D272" s="368" t="s">
        <v>1281</v>
      </c>
      <c r="E272" s="357" t="s">
        <v>1287</v>
      </c>
      <c r="F272" s="368">
        <v>2011</v>
      </c>
      <c r="G272" s="388"/>
      <c r="H272" s="388"/>
      <c r="I272" s="328"/>
      <c r="J272" s="389">
        <f t="shared" si="7"/>
        <v>0</v>
      </c>
    </row>
    <row r="273" spans="1:11" ht="21" hidden="1">
      <c r="A273" s="410"/>
      <c r="B273" s="410"/>
      <c r="C273" s="335"/>
      <c r="D273" s="335"/>
      <c r="E273" s="335"/>
      <c r="F273" s="335"/>
      <c r="G273" s="335">
        <f>SUM(G252:G272)</f>
        <v>4370</v>
      </c>
      <c r="H273" s="335"/>
      <c r="I273" s="410"/>
      <c r="J273" s="389">
        <f t="shared" si="7"/>
        <v>0</v>
      </c>
    </row>
    <row r="274" spans="1:11" ht="21" hidden="1">
      <c r="G274" s="241"/>
      <c r="J274" s="389">
        <f t="shared" si="7"/>
        <v>0</v>
      </c>
    </row>
    <row r="275" spans="1:11" ht="21" hidden="1">
      <c r="G275" s="241"/>
      <c r="J275" s="389">
        <f t="shared" si="7"/>
        <v>0</v>
      </c>
    </row>
    <row r="276" spans="1:11" ht="21" hidden="1">
      <c r="G276" s="241"/>
      <c r="J276" s="389">
        <f t="shared" si="7"/>
        <v>0</v>
      </c>
    </row>
    <row r="277" spans="1:11" ht="16.5" customHeight="1">
      <c r="G277" s="241"/>
    </row>
    <row r="278" spans="1:11" s="314" customFormat="1" ht="21">
      <c r="A278" s="106"/>
      <c r="B278" s="106"/>
      <c r="C278" s="106"/>
      <c r="D278" s="106"/>
      <c r="E278" s="106"/>
      <c r="F278" s="349" t="s">
        <v>305</v>
      </c>
      <c r="G278" s="479">
        <v>4370</v>
      </c>
      <c r="H278" s="106"/>
      <c r="I278" s="106"/>
      <c r="J278" s="413">
        <f>SUM(J252:J277)</f>
        <v>13836300</v>
      </c>
    </row>
    <row r="279" spans="1:11" ht="21.6" thickBot="1">
      <c r="A279" s="87"/>
      <c r="B279" s="334"/>
      <c r="C279" s="334"/>
      <c r="D279" s="334"/>
      <c r="E279" s="334"/>
      <c r="F279" s="482"/>
      <c r="G279" s="482"/>
      <c r="H279" s="482"/>
      <c r="I279" s="483"/>
      <c r="J279" s="484"/>
      <c r="K279" s="37"/>
    </row>
    <row r="280" spans="1:11" ht="16.2" thickBot="1">
      <c r="C280" s="428"/>
      <c r="D280" s="428"/>
      <c r="E280" s="428"/>
      <c r="F280" s="655"/>
      <c r="G280" s="656"/>
      <c r="H280" s="657"/>
    </row>
    <row r="281" spans="1:11" ht="18">
      <c r="C281" s="658" t="s">
        <v>1218</v>
      </c>
      <c r="D281" s="659"/>
      <c r="E281" s="660"/>
      <c r="F281" s="429" t="s">
        <v>1112</v>
      </c>
      <c r="G281" s="429" t="s">
        <v>1219</v>
      </c>
      <c r="H281" s="429" t="s">
        <v>1220</v>
      </c>
      <c r="J281" s="335"/>
    </row>
    <row r="282" spans="1:11" ht="18.600000000000001" thickBot="1">
      <c r="C282" s="661"/>
      <c r="D282" s="662"/>
      <c r="E282" s="663"/>
      <c r="F282" s="430" t="s">
        <v>1114</v>
      </c>
      <c r="G282" s="430"/>
      <c r="H282" s="431" t="s">
        <v>305</v>
      </c>
    </row>
    <row r="283" spans="1:11" ht="18">
      <c r="C283" s="664" t="s">
        <v>1317</v>
      </c>
      <c r="D283" s="665"/>
      <c r="E283" s="666"/>
      <c r="F283" s="485">
        <v>1560</v>
      </c>
      <c r="G283" s="486">
        <v>1460</v>
      </c>
      <c r="H283" s="492">
        <f>+F283*G283</f>
        <v>2277600</v>
      </c>
      <c r="I283" s="435"/>
      <c r="J283" s="435"/>
    </row>
    <row r="284" spans="1:11" ht="18">
      <c r="C284" s="438" t="s">
        <v>1318</v>
      </c>
      <c r="D284" s="439"/>
      <c r="E284" s="440"/>
      <c r="F284" s="432">
        <v>9.34</v>
      </c>
      <c r="G284" s="436">
        <v>5840</v>
      </c>
      <c r="H284" s="493">
        <f t="shared" ref="H284:H319" si="8">+F284*G284</f>
        <v>54545.599999999999</v>
      </c>
      <c r="I284" s="435"/>
      <c r="J284" s="435"/>
    </row>
    <row r="285" spans="1:11" ht="18">
      <c r="C285" s="438" t="s">
        <v>1319</v>
      </c>
      <c r="D285" s="439"/>
      <c r="E285" s="440"/>
      <c r="F285" s="432">
        <v>165.9</v>
      </c>
      <c r="G285" s="436">
        <v>1460</v>
      </c>
      <c r="H285" s="493">
        <f t="shared" si="8"/>
        <v>242214</v>
      </c>
      <c r="I285" s="435"/>
      <c r="J285" s="435"/>
    </row>
    <row r="286" spans="1:11" ht="18">
      <c r="C286" s="667" t="s">
        <v>1320</v>
      </c>
      <c r="D286" s="668"/>
      <c r="E286" s="669"/>
      <c r="F286" s="441">
        <v>10</v>
      </c>
      <c r="G286" s="436">
        <v>17520</v>
      </c>
      <c r="H286" s="493">
        <f t="shared" si="8"/>
        <v>175200</v>
      </c>
    </row>
    <row r="287" spans="1:11" ht="18">
      <c r="C287" s="438" t="s">
        <v>1321</v>
      </c>
      <c r="D287" s="439"/>
      <c r="E287" s="440"/>
      <c r="F287" s="441">
        <v>460</v>
      </c>
      <c r="G287" s="436">
        <v>2800</v>
      </c>
      <c r="H287" s="493">
        <f t="shared" si="8"/>
        <v>1288000</v>
      </c>
    </row>
    <row r="288" spans="1:11" ht="18">
      <c r="C288" s="438" t="s">
        <v>1322</v>
      </c>
      <c r="D288" s="439"/>
      <c r="E288" s="440"/>
      <c r="F288" s="441">
        <v>3200</v>
      </c>
      <c r="G288" s="436">
        <v>1460</v>
      </c>
      <c r="H288" s="493">
        <f t="shared" si="8"/>
        <v>4672000</v>
      </c>
    </row>
    <row r="289" spans="3:8" ht="18">
      <c r="C289" s="438" t="s">
        <v>1323</v>
      </c>
      <c r="D289" s="439"/>
      <c r="E289" s="440"/>
      <c r="F289" s="441">
        <v>1125</v>
      </c>
      <c r="G289" s="436">
        <v>17520</v>
      </c>
      <c r="H289" s="493">
        <f t="shared" si="8"/>
        <v>19710000</v>
      </c>
    </row>
    <row r="290" spans="3:8" ht="18">
      <c r="C290" s="438" t="s">
        <v>1324</v>
      </c>
      <c r="D290" s="439"/>
      <c r="E290" s="440"/>
      <c r="F290" s="441">
        <v>390</v>
      </c>
      <c r="G290" s="436">
        <v>5840</v>
      </c>
      <c r="H290" s="493">
        <f t="shared" si="8"/>
        <v>2277600</v>
      </c>
    </row>
    <row r="291" spans="3:8" ht="18">
      <c r="C291" s="438" t="s">
        <v>1325</v>
      </c>
      <c r="D291" s="439"/>
      <c r="E291" s="440"/>
      <c r="F291" s="441">
        <v>375</v>
      </c>
      <c r="G291" s="436">
        <v>2920</v>
      </c>
      <c r="H291" s="493">
        <f t="shared" si="8"/>
        <v>1095000</v>
      </c>
    </row>
    <row r="292" spans="3:8" ht="18">
      <c r="C292" s="438" t="s">
        <v>1326</v>
      </c>
      <c r="D292" s="439"/>
      <c r="E292" s="440"/>
      <c r="F292" s="441">
        <v>240</v>
      </c>
      <c r="G292" s="436">
        <v>2920</v>
      </c>
      <c r="H292" s="493">
        <f t="shared" si="8"/>
        <v>700800</v>
      </c>
    </row>
    <row r="293" spans="3:8" ht="18">
      <c r="C293" s="438" t="s">
        <v>1327</v>
      </c>
      <c r="D293" s="439"/>
      <c r="E293" s="440"/>
      <c r="F293" s="441">
        <v>250</v>
      </c>
      <c r="G293" s="436">
        <v>2920</v>
      </c>
      <c r="H293" s="493">
        <f t="shared" si="8"/>
        <v>730000</v>
      </c>
    </row>
    <row r="294" spans="3:8" ht="18">
      <c r="C294" s="438" t="s">
        <v>1328</v>
      </c>
      <c r="D294" s="439"/>
      <c r="E294" s="440"/>
      <c r="F294" s="441">
        <v>290</v>
      </c>
      <c r="G294" s="436">
        <v>17520</v>
      </c>
      <c r="H294" s="493">
        <f t="shared" si="8"/>
        <v>5080800</v>
      </c>
    </row>
    <row r="295" spans="3:8" ht="18">
      <c r="C295" s="438" t="s">
        <v>1329</v>
      </c>
      <c r="D295" s="439"/>
      <c r="E295" s="440"/>
      <c r="F295" s="441">
        <v>975</v>
      </c>
      <c r="G295" s="436">
        <v>1460</v>
      </c>
      <c r="H295" s="493">
        <f t="shared" si="8"/>
        <v>1423500</v>
      </c>
    </row>
    <row r="296" spans="3:8" ht="18">
      <c r="C296" s="438" t="s">
        <v>1330</v>
      </c>
      <c r="D296" s="439"/>
      <c r="E296" s="440"/>
      <c r="F296" s="441">
        <v>360</v>
      </c>
      <c r="G296" s="436">
        <v>2920</v>
      </c>
      <c r="H296" s="493">
        <f t="shared" si="8"/>
        <v>1051200</v>
      </c>
    </row>
    <row r="297" spans="3:8" ht="18">
      <c r="C297" s="438" t="s">
        <v>1331</v>
      </c>
      <c r="D297" s="439"/>
      <c r="E297" s="440"/>
      <c r="F297" s="441">
        <v>360</v>
      </c>
      <c r="G297" s="436">
        <v>2920</v>
      </c>
      <c r="H297" s="493">
        <f t="shared" si="8"/>
        <v>1051200</v>
      </c>
    </row>
    <row r="298" spans="3:8" ht="18">
      <c r="C298" s="438" t="s">
        <v>1332</v>
      </c>
      <c r="D298" s="439"/>
      <c r="E298" s="440"/>
      <c r="F298" s="441">
        <v>1000</v>
      </c>
      <c r="G298" s="436">
        <v>1460</v>
      </c>
      <c r="H298" s="493">
        <f t="shared" si="8"/>
        <v>1460000</v>
      </c>
    </row>
    <row r="299" spans="3:8" ht="18">
      <c r="C299" s="438" t="s">
        <v>1333</v>
      </c>
      <c r="D299" s="439"/>
      <c r="E299" s="440"/>
      <c r="F299" s="441">
        <v>975</v>
      </c>
      <c r="G299" s="436">
        <v>1460</v>
      </c>
      <c r="H299" s="493">
        <f t="shared" si="8"/>
        <v>1423500</v>
      </c>
    </row>
    <row r="300" spans="3:8" ht="18">
      <c r="C300" s="438" t="s">
        <v>1334</v>
      </c>
      <c r="D300" s="439"/>
      <c r="E300" s="440"/>
      <c r="F300" s="441">
        <v>360</v>
      </c>
      <c r="G300" s="436">
        <v>2920</v>
      </c>
      <c r="H300" s="493">
        <f t="shared" si="8"/>
        <v>1051200</v>
      </c>
    </row>
    <row r="301" spans="3:8" ht="18">
      <c r="C301" s="438" t="s">
        <v>1335</v>
      </c>
      <c r="D301" s="439"/>
      <c r="E301" s="440"/>
      <c r="F301" s="441">
        <v>2500</v>
      </c>
      <c r="G301" s="436">
        <v>1460</v>
      </c>
      <c r="H301" s="493">
        <f t="shared" si="8"/>
        <v>3650000</v>
      </c>
    </row>
    <row r="302" spans="3:8" ht="18">
      <c r="C302" s="438" t="s">
        <v>1336</v>
      </c>
      <c r="D302" s="439"/>
      <c r="E302" s="440"/>
      <c r="F302" s="441">
        <v>350</v>
      </c>
      <c r="G302" s="436">
        <v>2920</v>
      </c>
      <c r="H302" s="493">
        <f t="shared" si="8"/>
        <v>1022000</v>
      </c>
    </row>
    <row r="303" spans="3:8" ht="18">
      <c r="C303" s="438" t="s">
        <v>1337</v>
      </c>
      <c r="D303" s="439"/>
      <c r="E303" s="440"/>
      <c r="F303" s="441">
        <v>2200</v>
      </c>
      <c r="G303" s="436">
        <v>2920</v>
      </c>
      <c r="H303" s="493">
        <f t="shared" si="8"/>
        <v>6424000</v>
      </c>
    </row>
    <row r="304" spans="3:8" ht="18">
      <c r="C304" s="438" t="s">
        <v>1338</v>
      </c>
      <c r="D304" s="439"/>
      <c r="E304" s="440"/>
      <c r="F304" s="441">
        <v>500</v>
      </c>
      <c r="G304" s="436">
        <v>1460</v>
      </c>
      <c r="H304" s="493">
        <f t="shared" si="8"/>
        <v>730000</v>
      </c>
    </row>
    <row r="305" spans="3:8" ht="18">
      <c r="C305" s="438" t="s">
        <v>1339</v>
      </c>
      <c r="D305" s="439"/>
      <c r="E305" s="440"/>
      <c r="F305" s="441">
        <v>375</v>
      </c>
      <c r="G305" s="436">
        <v>1460</v>
      </c>
      <c r="H305" s="493">
        <f t="shared" si="8"/>
        <v>547500</v>
      </c>
    </row>
    <row r="306" spans="3:8" ht="18">
      <c r="C306" s="438" t="s">
        <v>1340</v>
      </c>
      <c r="D306" s="439"/>
      <c r="E306" s="440"/>
      <c r="F306" s="441">
        <v>245</v>
      </c>
      <c r="G306" s="436">
        <v>2920</v>
      </c>
      <c r="H306" s="493">
        <f t="shared" si="8"/>
        <v>715400</v>
      </c>
    </row>
    <row r="307" spans="3:8" ht="18">
      <c r="C307" s="438" t="s">
        <v>1341</v>
      </c>
      <c r="D307" s="439"/>
      <c r="E307" s="440"/>
      <c r="F307" s="441">
        <v>1200</v>
      </c>
      <c r="G307" s="436">
        <v>2920</v>
      </c>
      <c r="H307" s="493">
        <f t="shared" si="8"/>
        <v>3504000</v>
      </c>
    </row>
    <row r="308" spans="3:8" ht="18">
      <c r="C308" s="438" t="s">
        <v>1342</v>
      </c>
      <c r="D308" s="439"/>
      <c r="E308" s="440"/>
      <c r="F308" s="441">
        <v>460</v>
      </c>
      <c r="G308" s="436">
        <v>2920</v>
      </c>
      <c r="H308" s="493">
        <f t="shared" si="8"/>
        <v>1343200</v>
      </c>
    </row>
    <row r="309" spans="3:8" ht="18">
      <c r="C309" s="438" t="s">
        <v>1343</v>
      </c>
      <c r="D309" s="439"/>
      <c r="E309" s="440"/>
      <c r="F309" s="441">
        <v>850</v>
      </c>
      <c r="G309" s="436">
        <v>2920</v>
      </c>
      <c r="H309" s="493">
        <f t="shared" si="8"/>
        <v>2482000</v>
      </c>
    </row>
    <row r="310" spans="3:8" ht="18">
      <c r="C310" s="438" t="s">
        <v>1344</v>
      </c>
      <c r="D310" s="439"/>
      <c r="E310" s="440"/>
      <c r="F310" s="441">
        <v>1416</v>
      </c>
      <c r="G310" s="436">
        <v>1460</v>
      </c>
      <c r="H310" s="493">
        <f t="shared" si="8"/>
        <v>2067360</v>
      </c>
    </row>
    <row r="311" spans="3:8" ht="18">
      <c r="C311" s="438" t="s">
        <v>1345</v>
      </c>
      <c r="D311" s="439"/>
      <c r="E311" s="440"/>
      <c r="F311" s="441">
        <v>5225</v>
      </c>
      <c r="G311" s="436">
        <v>1460</v>
      </c>
      <c r="H311" s="493">
        <f t="shared" si="8"/>
        <v>7628500</v>
      </c>
    </row>
    <row r="312" spans="3:8" ht="18">
      <c r="C312" s="438" t="s">
        <v>1346</v>
      </c>
      <c r="D312" s="439"/>
      <c r="E312" s="440"/>
      <c r="F312" s="441">
        <v>150</v>
      </c>
      <c r="G312" s="436">
        <v>1460</v>
      </c>
      <c r="H312" s="493">
        <f t="shared" si="8"/>
        <v>219000</v>
      </c>
    </row>
    <row r="313" spans="3:8" ht="18">
      <c r="C313" s="438" t="s">
        <v>1347</v>
      </c>
      <c r="D313" s="439"/>
      <c r="E313" s="440"/>
      <c r="F313" s="441">
        <v>3500</v>
      </c>
      <c r="G313" s="436">
        <v>2920</v>
      </c>
      <c r="H313" s="493">
        <f t="shared" si="8"/>
        <v>10220000</v>
      </c>
    </row>
    <row r="314" spans="3:8" ht="18">
      <c r="C314" s="438" t="s">
        <v>1348</v>
      </c>
      <c r="D314" s="439"/>
      <c r="E314" s="440"/>
      <c r="F314" s="441">
        <v>3500</v>
      </c>
      <c r="G314" s="436">
        <v>1460</v>
      </c>
      <c r="H314" s="493">
        <f t="shared" si="8"/>
        <v>5110000</v>
      </c>
    </row>
    <row r="315" spans="3:8" ht="18">
      <c r="C315" s="438" t="s">
        <v>1349</v>
      </c>
      <c r="D315" s="439"/>
      <c r="E315" s="440"/>
      <c r="F315" s="441">
        <v>5</v>
      </c>
      <c r="G315" s="436">
        <v>1460</v>
      </c>
      <c r="H315" s="493">
        <f t="shared" si="8"/>
        <v>7300</v>
      </c>
    </row>
    <row r="316" spans="3:8" ht="18">
      <c r="C316" s="438" t="s">
        <v>1350</v>
      </c>
      <c r="D316" s="439"/>
      <c r="E316" s="440"/>
      <c r="F316" s="441">
        <v>950</v>
      </c>
      <c r="G316" s="436">
        <v>1460</v>
      </c>
      <c r="H316" s="493">
        <f t="shared" si="8"/>
        <v>1387000</v>
      </c>
    </row>
    <row r="317" spans="3:8" ht="18">
      <c r="C317" s="438" t="s">
        <v>1351</v>
      </c>
      <c r="D317" s="439"/>
      <c r="E317" s="440"/>
      <c r="F317" s="441">
        <v>350</v>
      </c>
      <c r="G317" s="436">
        <v>1460</v>
      </c>
      <c r="H317" s="493">
        <f t="shared" si="8"/>
        <v>511000</v>
      </c>
    </row>
    <row r="318" spans="3:8" ht="18">
      <c r="C318" s="438" t="s">
        <v>1352</v>
      </c>
      <c r="D318" s="439"/>
      <c r="E318" s="440"/>
      <c r="F318" s="441">
        <v>1800</v>
      </c>
      <c r="G318" s="436">
        <v>1460</v>
      </c>
      <c r="H318" s="493">
        <f t="shared" si="8"/>
        <v>2628000</v>
      </c>
    </row>
    <row r="319" spans="3:8" ht="18">
      <c r="C319" s="438" t="s">
        <v>1353</v>
      </c>
      <c r="D319" s="439"/>
      <c r="E319" s="440"/>
      <c r="F319" s="441">
        <v>1250</v>
      </c>
      <c r="G319" s="436">
        <v>1460</v>
      </c>
      <c r="H319" s="494">
        <f t="shared" si="8"/>
        <v>1825000</v>
      </c>
    </row>
    <row r="320" spans="3:8" ht="18">
      <c r="C320" s="438"/>
      <c r="D320" s="439"/>
      <c r="E320" s="440"/>
      <c r="F320" s="441"/>
      <c r="G320" s="436"/>
      <c r="H320" s="437"/>
    </row>
    <row r="321" spans="3:10" ht="18">
      <c r="C321" s="670" t="s">
        <v>1231</v>
      </c>
      <c r="D321" s="671"/>
      <c r="E321" s="672"/>
      <c r="F321" s="487"/>
      <c r="G321" s="488">
        <v>37960</v>
      </c>
      <c r="H321" s="489">
        <f>+F321*G321</f>
        <v>0</v>
      </c>
    </row>
    <row r="322" spans="3:10" ht="18">
      <c r="C322" s="439"/>
      <c r="D322" s="439"/>
      <c r="E322" s="439"/>
      <c r="F322" s="490"/>
      <c r="G322" s="471"/>
      <c r="H322" s="448">
        <f>SUM(H283:H321)</f>
        <v>97785619.599999994</v>
      </c>
    </row>
    <row r="323" spans="3:10" ht="18">
      <c r="C323" s="439"/>
      <c r="D323" s="439"/>
      <c r="E323" s="439"/>
      <c r="F323" s="490"/>
      <c r="G323" s="471"/>
      <c r="H323" s="448"/>
    </row>
    <row r="324" spans="3:10" ht="18">
      <c r="D324" s="645" t="s">
        <v>1354</v>
      </c>
      <c r="E324" s="645"/>
      <c r="F324" s="645"/>
      <c r="J324" s="491">
        <f>+H322+J278+J245+I174+I154+I143+I130+J92+J66+J79+J59+J46+J37+J31+J20</f>
        <v>1220756107.96</v>
      </c>
    </row>
  </sheetData>
  <mergeCells count="54">
    <mergeCell ref="G23:J23"/>
    <mergeCell ref="A2:J2"/>
    <mergeCell ref="A4:J4"/>
    <mergeCell ref="G6:J6"/>
    <mergeCell ref="B7:B8"/>
    <mergeCell ref="C7:F8"/>
    <mergeCell ref="C119:E119"/>
    <mergeCell ref="E33:F33"/>
    <mergeCell ref="G33:J33"/>
    <mergeCell ref="G39:J39"/>
    <mergeCell ref="G49:J49"/>
    <mergeCell ref="G61:J61"/>
    <mergeCell ref="G68:J68"/>
    <mergeCell ref="G81:J81"/>
    <mergeCell ref="B92:C92"/>
    <mergeCell ref="D92:E92"/>
    <mergeCell ref="F116:H116"/>
    <mergeCell ref="C117:E118"/>
    <mergeCell ref="C150:E151"/>
    <mergeCell ref="C152:E152"/>
    <mergeCell ref="C153:E153"/>
    <mergeCell ref="F149:H149"/>
    <mergeCell ref="C120:E120"/>
    <mergeCell ref="C122:E122"/>
    <mergeCell ref="C126:E126"/>
    <mergeCell ref="C127:E127"/>
    <mergeCell ref="C129:E129"/>
    <mergeCell ref="F133:H133"/>
    <mergeCell ref="C134:E135"/>
    <mergeCell ref="C136:E136"/>
    <mergeCell ref="C137:E137"/>
    <mergeCell ref="C141:E141"/>
    <mergeCell ref="C142:E142"/>
    <mergeCell ref="F157:H157"/>
    <mergeCell ref="C158:E158"/>
    <mergeCell ref="G216:J216"/>
    <mergeCell ref="G249:J249"/>
    <mergeCell ref="C160:E160"/>
    <mergeCell ref="F163:H163"/>
    <mergeCell ref="C164:E164"/>
    <mergeCell ref="C165:E165"/>
    <mergeCell ref="C166:E166"/>
    <mergeCell ref="F170:H170"/>
    <mergeCell ref="C159:E159"/>
    <mergeCell ref="D324:F324"/>
    <mergeCell ref="C171:E171"/>
    <mergeCell ref="C172:E172"/>
    <mergeCell ref="C173:E173"/>
    <mergeCell ref="C174:E174"/>
    <mergeCell ref="F280:H280"/>
    <mergeCell ref="C281:E282"/>
    <mergeCell ref="C283:E283"/>
    <mergeCell ref="C286:E286"/>
    <mergeCell ref="C321:E321"/>
  </mergeCells>
  <pageMargins left="0.70866141732283472" right="0.59055118110236227" top="0.74803149606299213" bottom="0.74803149606299213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0"/>
  <sheetViews>
    <sheetView view="pageBreakPreview" topLeftCell="A586" zoomScale="85" zoomScaleNormal="278" zoomScaleSheetLayoutView="85" zoomScalePageLayoutView="278" workbookViewId="0">
      <selection activeCell="D609" sqref="D609"/>
    </sheetView>
  </sheetViews>
  <sheetFormatPr baseColWidth="10" defaultColWidth="11.44140625" defaultRowHeight="13.8"/>
  <cols>
    <col min="1" max="1" width="73.109375" style="264" customWidth="1"/>
    <col min="2" max="2" width="11.44140625" style="264"/>
    <col min="3" max="3" width="20.33203125" style="264" bestFit="1" customWidth="1"/>
    <col min="4" max="4" width="23.33203125" style="280" bestFit="1" customWidth="1"/>
    <col min="5" max="5" width="21.44140625" style="264" customWidth="1"/>
    <col min="6" max="6" width="18.6640625" style="264" customWidth="1"/>
    <col min="7" max="7" width="12.44140625" style="264" customWidth="1"/>
    <col min="8" max="8" width="74.109375" style="264" customWidth="1"/>
    <col min="9" max="9" width="11.44140625" style="264"/>
    <col min="10" max="10" width="15.88671875" style="264" bestFit="1" customWidth="1"/>
    <col min="11" max="16384" width="11.44140625" style="264"/>
  </cols>
  <sheetData>
    <row r="1" spans="1:8" ht="15.6">
      <c r="A1" s="606" t="s">
        <v>112</v>
      </c>
      <c r="B1" s="606"/>
      <c r="C1" s="606"/>
      <c r="D1" s="606"/>
      <c r="E1" s="606"/>
      <c r="F1" s="606"/>
      <c r="G1" s="606"/>
      <c r="H1" s="67"/>
    </row>
    <row r="2" spans="1:8" ht="15.6">
      <c r="A2" s="606" t="s">
        <v>755</v>
      </c>
      <c r="B2" s="606"/>
      <c r="C2" s="606"/>
      <c r="D2" s="606"/>
      <c r="E2" s="606"/>
      <c r="F2" s="606"/>
      <c r="G2" s="606"/>
      <c r="H2" s="67"/>
    </row>
    <row r="3" spans="1:8" ht="15.6">
      <c r="A3" s="606" t="s">
        <v>756</v>
      </c>
      <c r="B3" s="606"/>
      <c r="C3" s="606"/>
      <c r="D3" s="606"/>
      <c r="E3" s="606"/>
      <c r="F3" s="606"/>
      <c r="G3" s="606"/>
      <c r="H3" s="67"/>
    </row>
    <row r="4" spans="1:8" ht="15.6">
      <c r="A4" s="606" t="s">
        <v>757</v>
      </c>
      <c r="B4" s="606"/>
      <c r="C4" s="606"/>
      <c r="D4" s="606"/>
      <c r="E4" s="606"/>
      <c r="F4" s="606"/>
      <c r="G4" s="606"/>
      <c r="H4" s="67"/>
    </row>
    <row r="6" spans="1:8" s="265" customFormat="1" ht="15.6">
      <c r="B6" s="607" t="s">
        <v>671</v>
      </c>
      <c r="C6" s="608"/>
      <c r="D6" s="608"/>
      <c r="E6" s="608"/>
      <c r="F6" s="608"/>
      <c r="G6" s="609"/>
      <c r="H6" s="66"/>
    </row>
    <row r="7" spans="1:8" s="265" customFormat="1" ht="15.75" customHeight="1">
      <c r="A7" s="604" t="s">
        <v>113</v>
      </c>
      <c r="B7" s="613" t="s">
        <v>114</v>
      </c>
      <c r="C7" s="200" t="s">
        <v>115</v>
      </c>
      <c r="D7" s="200" t="s">
        <v>116</v>
      </c>
      <c r="E7" s="604" t="s">
        <v>117</v>
      </c>
      <c r="F7" s="604" t="s">
        <v>118</v>
      </c>
      <c r="G7" s="604" t="s">
        <v>119</v>
      </c>
      <c r="H7" s="602" t="s">
        <v>120</v>
      </c>
    </row>
    <row r="8" spans="1:8" s="265" customFormat="1" ht="15.6">
      <c r="A8" s="605"/>
      <c r="B8" s="614"/>
      <c r="C8" s="200" t="s">
        <v>121</v>
      </c>
      <c r="D8" s="200" t="s">
        <v>0</v>
      </c>
      <c r="E8" s="605"/>
      <c r="F8" s="605"/>
      <c r="G8" s="605"/>
      <c r="H8" s="603"/>
    </row>
    <row r="9" spans="1:8" ht="17.399999999999999">
      <c r="A9" s="214" t="s">
        <v>763</v>
      </c>
      <c r="B9" s="215"/>
      <c r="C9" s="216"/>
      <c r="D9" s="217">
        <f>+D10+D18+D19</f>
        <v>146956978</v>
      </c>
      <c r="E9" s="218"/>
      <c r="F9" s="218"/>
      <c r="G9" s="218"/>
      <c r="H9" s="68"/>
    </row>
    <row r="10" spans="1:8" ht="31.2">
      <c r="A10" s="195" t="s">
        <v>737</v>
      </c>
      <c r="B10" s="196"/>
      <c r="C10" s="196"/>
      <c r="D10" s="199">
        <f>SUM(D11:D17)</f>
        <v>3097000</v>
      </c>
      <c r="E10" s="197" t="s">
        <v>617</v>
      </c>
      <c r="F10" s="196"/>
      <c r="G10" s="197" t="s">
        <v>832</v>
      </c>
      <c r="H10" s="63"/>
    </row>
    <row r="11" spans="1:8" s="266" customFormat="1" ht="30.6">
      <c r="A11" s="252" t="s">
        <v>758</v>
      </c>
      <c r="B11" s="253">
        <v>2</v>
      </c>
      <c r="C11" s="253">
        <v>70000</v>
      </c>
      <c r="D11" s="186">
        <f>+B11*C11</f>
        <v>140000</v>
      </c>
      <c r="E11" s="156"/>
      <c r="F11" s="251"/>
      <c r="G11" s="156"/>
      <c r="H11" s="251"/>
    </row>
    <row r="12" spans="1:8" s="266" customFormat="1" ht="15.6">
      <c r="A12" s="252" t="s">
        <v>759</v>
      </c>
      <c r="B12" s="253">
        <f>5*2</f>
        <v>10</v>
      </c>
      <c r="C12" s="253">
        <v>150000</v>
      </c>
      <c r="D12" s="503">
        <f t="shared" ref="D12:D17" si="0">+B12*C12</f>
        <v>1500000</v>
      </c>
      <c r="E12" s="156"/>
      <c r="F12" s="251"/>
      <c r="G12" s="156"/>
      <c r="H12" s="251"/>
    </row>
    <row r="13" spans="1:8" s="266" customFormat="1" ht="15.6">
      <c r="A13" s="252" t="s">
        <v>760</v>
      </c>
      <c r="B13" s="253">
        <f>5*2</f>
        <v>10</v>
      </c>
      <c r="C13" s="253">
        <v>70000</v>
      </c>
      <c r="D13" s="503">
        <f t="shared" si="0"/>
        <v>700000</v>
      </c>
      <c r="E13" s="156"/>
      <c r="F13" s="251"/>
      <c r="G13" s="156"/>
      <c r="H13" s="251"/>
    </row>
    <row r="14" spans="1:8" s="266" customFormat="1" ht="15.6">
      <c r="A14" s="252" t="s">
        <v>1361</v>
      </c>
      <c r="B14" s="253">
        <f>8*4</f>
        <v>32</v>
      </c>
      <c r="C14" s="253">
        <v>2500</v>
      </c>
      <c r="D14" s="503">
        <f t="shared" si="0"/>
        <v>80000</v>
      </c>
      <c r="E14" s="156"/>
      <c r="F14" s="251"/>
      <c r="G14" s="156"/>
      <c r="H14" s="251"/>
    </row>
    <row r="15" spans="1:8" s="266" customFormat="1" ht="15.6">
      <c r="A15" s="252" t="s">
        <v>762</v>
      </c>
      <c r="B15" s="253">
        <v>1</v>
      </c>
      <c r="C15" s="253">
        <v>37000</v>
      </c>
      <c r="D15" s="503">
        <f t="shared" si="0"/>
        <v>37000</v>
      </c>
      <c r="E15" s="156"/>
      <c r="F15" s="251"/>
      <c r="G15" s="156"/>
      <c r="H15" s="251"/>
    </row>
    <row r="16" spans="1:8" s="266" customFormat="1" ht="15.6">
      <c r="A16" s="252" t="s">
        <v>761</v>
      </c>
      <c r="B16" s="253">
        <v>800</v>
      </c>
      <c r="C16" s="253">
        <v>600</v>
      </c>
      <c r="D16" s="503">
        <f t="shared" si="0"/>
        <v>480000</v>
      </c>
      <c r="E16" s="156"/>
      <c r="F16" s="251"/>
      <c r="G16" s="156"/>
      <c r="H16" s="251"/>
    </row>
    <row r="17" spans="1:11" s="266" customFormat="1" ht="15.6">
      <c r="A17" s="252" t="s">
        <v>764</v>
      </c>
      <c r="B17" s="253">
        <v>8</v>
      </c>
      <c r="C17" s="253">
        <v>20000</v>
      </c>
      <c r="D17" s="503">
        <f t="shared" si="0"/>
        <v>160000</v>
      </c>
      <c r="E17" s="156"/>
      <c r="F17" s="251"/>
      <c r="G17" s="156"/>
      <c r="H17" s="251"/>
    </row>
    <row r="18" spans="1:11" ht="31.2">
      <c r="A18" s="195" t="s">
        <v>691</v>
      </c>
      <c r="B18" s="195"/>
      <c r="C18" s="195"/>
      <c r="D18" s="198"/>
      <c r="E18" s="197" t="s">
        <v>617</v>
      </c>
      <c r="F18" s="195"/>
      <c r="G18" s="197" t="s">
        <v>832</v>
      </c>
      <c r="H18" s="61"/>
    </row>
    <row r="19" spans="1:11" ht="31.2">
      <c r="A19" s="195" t="s">
        <v>741</v>
      </c>
      <c r="B19" s="195"/>
      <c r="C19" s="195"/>
      <c r="D19" s="199">
        <f>+D20+D54</f>
        <v>143859978</v>
      </c>
      <c r="E19" s="197" t="s">
        <v>617</v>
      </c>
      <c r="F19" s="195"/>
      <c r="G19" s="197" t="s">
        <v>832</v>
      </c>
      <c r="H19" s="61"/>
    </row>
    <row r="20" spans="1:11" s="2" customFormat="1" ht="31.2">
      <c r="A20" s="170" t="s">
        <v>508</v>
      </c>
      <c r="B20" s="185"/>
      <c r="C20" s="186"/>
      <c r="D20" s="186">
        <f>SUM(D21:D53)</f>
        <v>459328</v>
      </c>
      <c r="E20" s="26"/>
      <c r="F20" s="157"/>
      <c r="G20" s="157"/>
      <c r="H20" s="93"/>
    </row>
    <row r="21" spans="1:11" ht="15">
      <c r="A21" s="187" t="s">
        <v>15</v>
      </c>
      <c r="B21" s="188">
        <v>7</v>
      </c>
      <c r="C21" s="189">
        <v>575</v>
      </c>
      <c r="D21" s="189">
        <f>+B21*C21</f>
        <v>4025</v>
      </c>
      <c r="E21" s="175"/>
      <c r="F21" s="175"/>
      <c r="G21" s="175"/>
      <c r="H21" s="94"/>
    </row>
    <row r="22" spans="1:11" ht="15">
      <c r="A22" s="187" t="s">
        <v>16</v>
      </c>
      <c r="B22" s="188">
        <v>15</v>
      </c>
      <c r="C22" s="189">
        <v>100</v>
      </c>
      <c r="D22" s="189">
        <f t="shared" ref="D22:D53" si="1">+B22*C22</f>
        <v>1500</v>
      </c>
      <c r="E22" s="175"/>
      <c r="F22" s="175"/>
      <c r="G22" s="175"/>
      <c r="H22" s="94"/>
    </row>
    <row r="23" spans="1:11" ht="15">
      <c r="A23" s="187" t="s">
        <v>506</v>
      </c>
      <c r="B23" s="188">
        <v>20</v>
      </c>
      <c r="C23" s="189">
        <v>395</v>
      </c>
      <c r="D23" s="189">
        <f t="shared" si="1"/>
        <v>7900</v>
      </c>
      <c r="E23" s="175"/>
      <c r="F23" s="175"/>
      <c r="G23" s="175"/>
      <c r="H23" s="94"/>
    </row>
    <row r="24" spans="1:11" ht="15.6">
      <c r="A24" s="187" t="s">
        <v>17</v>
      </c>
      <c r="B24" s="188">
        <v>10</v>
      </c>
      <c r="C24" s="189">
        <v>375</v>
      </c>
      <c r="D24" s="189">
        <f t="shared" si="1"/>
        <v>3750</v>
      </c>
      <c r="E24" s="175"/>
      <c r="F24" s="175"/>
      <c r="G24" s="175"/>
      <c r="H24" s="94"/>
      <c r="K24"/>
    </row>
    <row r="25" spans="1:11" ht="15">
      <c r="A25" s="187" t="s">
        <v>18</v>
      </c>
      <c r="B25" s="188">
        <v>12</v>
      </c>
      <c r="C25" s="189">
        <v>130</v>
      </c>
      <c r="D25" s="189">
        <f t="shared" si="1"/>
        <v>1560</v>
      </c>
      <c r="E25" s="175"/>
      <c r="F25" s="175"/>
      <c r="G25" s="175"/>
      <c r="H25" s="94"/>
    </row>
    <row r="26" spans="1:11" ht="15">
      <c r="A26" s="187" t="s">
        <v>19</v>
      </c>
      <c r="B26" s="188">
        <v>20</v>
      </c>
      <c r="C26" s="189">
        <v>38</v>
      </c>
      <c r="D26" s="189">
        <f t="shared" si="1"/>
        <v>760</v>
      </c>
      <c r="E26" s="175"/>
      <c r="F26" s="175"/>
      <c r="G26" s="175"/>
      <c r="H26" s="94"/>
    </row>
    <row r="27" spans="1:11" ht="15">
      <c r="A27" s="187" t="s">
        <v>20</v>
      </c>
      <c r="B27" s="188">
        <v>25</v>
      </c>
      <c r="C27" s="189">
        <v>150</v>
      </c>
      <c r="D27" s="189">
        <f t="shared" si="1"/>
        <v>3750</v>
      </c>
      <c r="E27" s="175"/>
      <c r="F27" s="175"/>
      <c r="G27" s="175"/>
      <c r="H27" s="94"/>
    </row>
    <row r="28" spans="1:11" ht="15">
      <c r="A28" s="187" t="s">
        <v>507</v>
      </c>
      <c r="B28" s="188">
        <v>100</v>
      </c>
      <c r="C28" s="189">
        <v>3250</v>
      </c>
      <c r="D28" s="189">
        <f t="shared" si="1"/>
        <v>325000</v>
      </c>
      <c r="E28" s="175"/>
      <c r="F28" s="175"/>
      <c r="G28" s="175"/>
      <c r="H28" s="94"/>
    </row>
    <row r="29" spans="1:11" ht="15">
      <c r="A29" s="187" t="s">
        <v>21</v>
      </c>
      <c r="B29" s="188">
        <v>15</v>
      </c>
      <c r="C29" s="189">
        <v>25</v>
      </c>
      <c r="D29" s="189">
        <f t="shared" si="1"/>
        <v>375</v>
      </c>
      <c r="E29" s="175"/>
      <c r="F29" s="175"/>
      <c r="G29" s="175"/>
      <c r="H29" s="94"/>
    </row>
    <row r="30" spans="1:11" ht="15">
      <c r="A30" s="187" t="s">
        <v>22</v>
      </c>
      <c r="B30" s="188">
        <v>15</v>
      </c>
      <c r="C30" s="189">
        <v>15</v>
      </c>
      <c r="D30" s="189">
        <f t="shared" si="1"/>
        <v>225</v>
      </c>
      <c r="E30" s="175"/>
      <c r="F30" s="175"/>
      <c r="G30" s="175"/>
      <c r="H30" s="94"/>
    </row>
    <row r="31" spans="1:11" ht="15">
      <c r="A31" s="187" t="s">
        <v>23</v>
      </c>
      <c r="B31" s="188">
        <v>10</v>
      </c>
      <c r="C31" s="189">
        <v>4900</v>
      </c>
      <c r="D31" s="189">
        <f t="shared" si="1"/>
        <v>49000</v>
      </c>
      <c r="E31" s="175"/>
      <c r="F31" s="175"/>
      <c r="G31" s="175"/>
      <c r="H31" s="94"/>
    </row>
    <row r="32" spans="1:11" ht="15">
      <c r="A32" s="187" t="s">
        <v>24</v>
      </c>
      <c r="B32" s="188">
        <v>10</v>
      </c>
      <c r="C32" s="189">
        <v>2915</v>
      </c>
      <c r="D32" s="189">
        <f t="shared" si="1"/>
        <v>29150</v>
      </c>
      <c r="E32" s="175"/>
      <c r="F32" s="175"/>
      <c r="G32" s="175"/>
      <c r="H32" s="94"/>
    </row>
    <row r="33" spans="1:8" ht="15">
      <c r="A33" s="187" t="s">
        <v>25</v>
      </c>
      <c r="B33" s="188">
        <v>15</v>
      </c>
      <c r="C33" s="189">
        <v>284</v>
      </c>
      <c r="D33" s="189">
        <f t="shared" si="1"/>
        <v>4260</v>
      </c>
      <c r="E33" s="175"/>
      <c r="F33" s="175"/>
      <c r="G33" s="175"/>
      <c r="H33" s="94"/>
    </row>
    <row r="34" spans="1:8" ht="15">
      <c r="A34" s="187" t="s">
        <v>26</v>
      </c>
      <c r="B34" s="188">
        <v>6</v>
      </c>
      <c r="C34" s="189">
        <v>115</v>
      </c>
      <c r="D34" s="189">
        <f t="shared" si="1"/>
        <v>690</v>
      </c>
      <c r="E34" s="175"/>
      <c r="F34" s="175"/>
      <c r="G34" s="175"/>
      <c r="H34" s="94"/>
    </row>
    <row r="35" spans="1:8" ht="15">
      <c r="A35" s="187" t="s">
        <v>27</v>
      </c>
      <c r="B35" s="188">
        <v>30</v>
      </c>
      <c r="C35" s="189">
        <v>6</v>
      </c>
      <c r="D35" s="189">
        <f t="shared" si="1"/>
        <v>180</v>
      </c>
      <c r="E35" s="175"/>
      <c r="F35" s="175"/>
      <c r="G35" s="175"/>
      <c r="H35" s="94"/>
    </row>
    <row r="36" spans="1:8" ht="15">
      <c r="A36" s="187" t="s">
        <v>28</v>
      </c>
      <c r="B36" s="188">
        <v>10</v>
      </c>
      <c r="C36" s="189">
        <v>340</v>
      </c>
      <c r="D36" s="189">
        <f t="shared" si="1"/>
        <v>3400</v>
      </c>
      <c r="E36" s="175"/>
      <c r="F36" s="175"/>
      <c r="G36" s="175"/>
      <c r="H36" s="94"/>
    </row>
    <row r="37" spans="1:8" ht="15">
      <c r="A37" s="187" t="s">
        <v>29</v>
      </c>
      <c r="B37" s="188">
        <v>6</v>
      </c>
      <c r="C37" s="189">
        <v>154</v>
      </c>
      <c r="D37" s="189">
        <f t="shared" si="1"/>
        <v>924</v>
      </c>
      <c r="E37" s="175"/>
      <c r="F37" s="175"/>
      <c r="G37" s="175"/>
      <c r="H37" s="94"/>
    </row>
    <row r="38" spans="1:8" ht="15">
      <c r="A38" s="187" t="s">
        <v>30</v>
      </c>
      <c r="B38" s="188">
        <v>6</v>
      </c>
      <c r="C38" s="189">
        <v>90</v>
      </c>
      <c r="D38" s="189">
        <f t="shared" si="1"/>
        <v>540</v>
      </c>
      <c r="E38" s="175"/>
      <c r="F38" s="175"/>
      <c r="G38" s="175"/>
      <c r="H38" s="94"/>
    </row>
    <row r="39" spans="1:8" ht="15">
      <c r="A39" s="187" t="s">
        <v>31</v>
      </c>
      <c r="B39" s="188">
        <v>4</v>
      </c>
      <c r="C39" s="189">
        <v>200</v>
      </c>
      <c r="D39" s="189">
        <f t="shared" si="1"/>
        <v>800</v>
      </c>
      <c r="E39" s="175"/>
      <c r="F39" s="175"/>
      <c r="G39" s="175"/>
      <c r="H39" s="94"/>
    </row>
    <row r="40" spans="1:8" ht="15">
      <c r="A40" s="187" t="s">
        <v>32</v>
      </c>
      <c r="B40" s="188">
        <v>4</v>
      </c>
      <c r="C40" s="189">
        <v>240</v>
      </c>
      <c r="D40" s="189">
        <f t="shared" si="1"/>
        <v>960</v>
      </c>
      <c r="E40" s="175"/>
      <c r="F40" s="175"/>
      <c r="G40" s="175"/>
      <c r="H40" s="94"/>
    </row>
    <row r="41" spans="1:8" ht="15">
      <c r="A41" s="187" t="s">
        <v>33</v>
      </c>
      <c r="B41" s="188">
        <v>10</v>
      </c>
      <c r="C41" s="189">
        <v>35</v>
      </c>
      <c r="D41" s="189">
        <f t="shared" si="1"/>
        <v>350</v>
      </c>
      <c r="E41" s="175"/>
      <c r="F41" s="175"/>
      <c r="G41" s="175"/>
      <c r="H41" s="94"/>
    </row>
    <row r="42" spans="1:8" ht="15">
      <c r="A42" s="187" t="s">
        <v>34</v>
      </c>
      <c r="B42" s="188">
        <v>4</v>
      </c>
      <c r="C42" s="189">
        <v>310</v>
      </c>
      <c r="D42" s="189">
        <f t="shared" si="1"/>
        <v>1240</v>
      </c>
      <c r="E42" s="175"/>
      <c r="F42" s="175"/>
      <c r="G42" s="175"/>
      <c r="H42" s="94"/>
    </row>
    <row r="43" spans="1:8" ht="15">
      <c r="A43" s="187" t="s">
        <v>35</v>
      </c>
      <c r="B43" s="188">
        <v>15</v>
      </c>
      <c r="C43" s="189">
        <v>90</v>
      </c>
      <c r="D43" s="189">
        <f t="shared" si="1"/>
        <v>1350</v>
      </c>
      <c r="E43" s="175"/>
      <c r="F43" s="175"/>
      <c r="G43" s="175"/>
      <c r="H43" s="94"/>
    </row>
    <row r="44" spans="1:8" ht="15">
      <c r="A44" s="187" t="s">
        <v>767</v>
      </c>
      <c r="B44" s="188">
        <v>15</v>
      </c>
      <c r="C44" s="189">
        <v>85</v>
      </c>
      <c r="D44" s="189">
        <f t="shared" si="1"/>
        <v>1275</v>
      </c>
      <c r="E44" s="175"/>
      <c r="F44" s="175"/>
      <c r="G44" s="175"/>
      <c r="H44" s="94"/>
    </row>
    <row r="45" spans="1:8" ht="15">
      <c r="A45" s="187" t="s">
        <v>766</v>
      </c>
      <c r="B45" s="188">
        <v>15</v>
      </c>
      <c r="C45" s="189">
        <v>21</v>
      </c>
      <c r="D45" s="189">
        <f t="shared" si="1"/>
        <v>315</v>
      </c>
      <c r="E45" s="175"/>
      <c r="F45" s="175"/>
      <c r="G45" s="175"/>
      <c r="H45" s="94"/>
    </row>
    <row r="46" spans="1:8" ht="15">
      <c r="A46" s="187" t="s">
        <v>36</v>
      </c>
      <c r="B46" s="188">
        <v>4</v>
      </c>
      <c r="C46" s="189">
        <v>68</v>
      </c>
      <c r="D46" s="189">
        <f t="shared" si="1"/>
        <v>272</v>
      </c>
      <c r="E46" s="175"/>
      <c r="F46" s="175"/>
      <c r="G46" s="175"/>
      <c r="H46" s="94"/>
    </row>
    <row r="47" spans="1:8" ht="15">
      <c r="A47" s="187" t="s">
        <v>37</v>
      </c>
      <c r="B47" s="188">
        <v>45</v>
      </c>
      <c r="C47" s="189">
        <v>126</v>
      </c>
      <c r="D47" s="189">
        <f t="shared" si="1"/>
        <v>5670</v>
      </c>
      <c r="E47" s="175"/>
      <c r="F47" s="175"/>
      <c r="G47" s="175"/>
      <c r="H47" s="94"/>
    </row>
    <row r="48" spans="1:8" ht="15">
      <c r="A48" s="187" t="s">
        <v>38</v>
      </c>
      <c r="B48" s="188">
        <v>5</v>
      </c>
      <c r="C48" s="189">
        <v>1200</v>
      </c>
      <c r="D48" s="189">
        <f t="shared" si="1"/>
        <v>6000</v>
      </c>
      <c r="E48" s="175"/>
      <c r="F48" s="175"/>
      <c r="G48" s="175"/>
      <c r="H48" s="94"/>
    </row>
    <row r="49" spans="1:8" ht="15">
      <c r="A49" s="187" t="s">
        <v>39</v>
      </c>
      <c r="B49" s="188">
        <v>6</v>
      </c>
      <c r="C49" s="189">
        <v>22</v>
      </c>
      <c r="D49" s="189">
        <f t="shared" si="1"/>
        <v>132</v>
      </c>
      <c r="E49" s="175"/>
      <c r="F49" s="175"/>
      <c r="G49" s="175"/>
      <c r="H49" s="94"/>
    </row>
    <row r="50" spans="1:8" ht="15">
      <c r="A50" s="187" t="s">
        <v>40</v>
      </c>
      <c r="B50" s="188">
        <v>4</v>
      </c>
      <c r="C50" s="189">
        <v>550</v>
      </c>
      <c r="D50" s="189">
        <f t="shared" si="1"/>
        <v>2200</v>
      </c>
      <c r="E50" s="175"/>
      <c r="F50" s="175"/>
      <c r="G50" s="175"/>
      <c r="H50" s="94"/>
    </row>
    <row r="51" spans="1:8" ht="15">
      <c r="A51" s="187" t="s">
        <v>41</v>
      </c>
      <c r="B51" s="188">
        <v>2</v>
      </c>
      <c r="C51" s="189">
        <v>550</v>
      </c>
      <c r="D51" s="189">
        <f t="shared" si="1"/>
        <v>1100</v>
      </c>
      <c r="E51" s="175"/>
      <c r="F51" s="175"/>
      <c r="G51" s="175"/>
      <c r="H51" s="94"/>
    </row>
    <row r="52" spans="1:8" ht="15">
      <c r="A52" s="187" t="s">
        <v>42</v>
      </c>
      <c r="B52" s="188">
        <v>6</v>
      </c>
      <c r="C52" s="189">
        <v>50</v>
      </c>
      <c r="D52" s="189">
        <f t="shared" si="1"/>
        <v>300</v>
      </c>
      <c r="E52" s="175"/>
      <c r="F52" s="175"/>
      <c r="G52" s="175"/>
      <c r="H52" s="94"/>
    </row>
    <row r="53" spans="1:8" ht="15">
      <c r="A53" s="187" t="s">
        <v>765</v>
      </c>
      <c r="B53" s="188">
        <v>5</v>
      </c>
      <c r="C53" s="189">
        <v>75</v>
      </c>
      <c r="D53" s="189">
        <f t="shared" si="1"/>
        <v>375</v>
      </c>
      <c r="E53" s="175"/>
      <c r="F53" s="175"/>
      <c r="G53" s="175"/>
      <c r="H53" s="94"/>
    </row>
    <row r="54" spans="1:8" ht="31.2">
      <c r="A54" s="25" t="s">
        <v>509</v>
      </c>
      <c r="B54" s="188"/>
      <c r="C54" s="189"/>
      <c r="D54" s="190">
        <f>+D55+D56+D57+D78+D89+D109+D129</f>
        <v>143400650</v>
      </c>
      <c r="E54" s="175"/>
      <c r="F54" s="175"/>
      <c r="G54" s="175"/>
      <c r="H54" s="94"/>
    </row>
    <row r="55" spans="1:8" ht="15">
      <c r="A55" s="3" t="s">
        <v>768</v>
      </c>
      <c r="B55" s="167">
        <v>700</v>
      </c>
      <c r="C55" s="4">
        <f>8636*13</f>
        <v>112268</v>
      </c>
      <c r="D55" s="4">
        <f>+B55*C55</f>
        <v>78587600</v>
      </c>
      <c r="E55" s="175"/>
      <c r="F55" s="175"/>
      <c r="G55" s="175"/>
      <c r="H55" s="94"/>
    </row>
    <row r="56" spans="1:8" ht="15">
      <c r="A56" s="187" t="s">
        <v>43</v>
      </c>
      <c r="B56" s="86">
        <v>700</v>
      </c>
      <c r="C56" s="189">
        <v>18000</v>
      </c>
      <c r="D56" s="189">
        <f>+B56*C56</f>
        <v>12600000</v>
      </c>
      <c r="E56" s="175"/>
      <c r="F56" s="175"/>
      <c r="G56" s="175"/>
      <c r="H56" s="94"/>
    </row>
    <row r="57" spans="1:8" ht="15.6">
      <c r="A57" s="85" t="s">
        <v>44</v>
      </c>
      <c r="B57" s="188"/>
      <c r="C57" s="189"/>
      <c r="D57" s="190">
        <f>SUM(D58:D77)</f>
        <v>782730</v>
      </c>
      <c r="E57" s="175"/>
      <c r="F57" s="175"/>
      <c r="G57" s="175"/>
      <c r="H57" s="94"/>
    </row>
    <row r="58" spans="1:8" ht="15">
      <c r="A58" s="187" t="s">
        <v>45</v>
      </c>
      <c r="B58" s="188">
        <v>60</v>
      </c>
      <c r="C58" s="189">
        <v>3250</v>
      </c>
      <c r="D58" s="189">
        <f t="shared" ref="D58:D88" si="2">+B58*C58</f>
        <v>195000</v>
      </c>
      <c r="E58" s="175"/>
      <c r="F58" s="175"/>
      <c r="G58" s="175"/>
      <c r="H58" s="94"/>
    </row>
    <row r="59" spans="1:8" ht="15">
      <c r="A59" s="187" t="s">
        <v>46</v>
      </c>
      <c r="B59" s="188">
        <v>10</v>
      </c>
      <c r="C59" s="189">
        <v>4100</v>
      </c>
      <c r="D59" s="189">
        <f t="shared" si="2"/>
        <v>41000</v>
      </c>
      <c r="E59" s="175"/>
      <c r="F59" s="175"/>
      <c r="G59" s="175"/>
      <c r="H59" s="94"/>
    </row>
    <row r="60" spans="1:8" ht="15">
      <c r="A60" s="187" t="s">
        <v>47</v>
      </c>
      <c r="B60" s="188">
        <v>20</v>
      </c>
      <c r="C60" s="189">
        <v>395</v>
      </c>
      <c r="D60" s="189">
        <f t="shared" si="2"/>
        <v>7900</v>
      </c>
      <c r="E60" s="175"/>
      <c r="F60" s="175"/>
      <c r="G60" s="175"/>
      <c r="H60" s="94"/>
    </row>
    <row r="61" spans="1:8" ht="15">
      <c r="A61" s="187" t="s">
        <v>48</v>
      </c>
      <c r="B61" s="188">
        <v>10</v>
      </c>
      <c r="C61" s="189">
        <v>445</v>
      </c>
      <c r="D61" s="189">
        <f t="shared" si="2"/>
        <v>4450</v>
      </c>
      <c r="E61" s="175"/>
      <c r="F61" s="175"/>
      <c r="G61" s="175"/>
      <c r="H61" s="94"/>
    </row>
    <row r="62" spans="1:8" ht="15">
      <c r="A62" s="187" t="s">
        <v>49</v>
      </c>
      <c r="B62" s="188">
        <v>20</v>
      </c>
      <c r="C62" s="189">
        <v>150</v>
      </c>
      <c r="D62" s="189">
        <f t="shared" si="2"/>
        <v>3000</v>
      </c>
      <c r="E62" s="175"/>
      <c r="F62" s="175"/>
      <c r="G62" s="175"/>
      <c r="H62" s="94"/>
    </row>
    <row r="63" spans="1:8" ht="15">
      <c r="A63" s="187" t="s">
        <v>50</v>
      </c>
      <c r="B63" s="188">
        <f>700*10</f>
        <v>7000</v>
      </c>
      <c r="C63" s="189">
        <v>60</v>
      </c>
      <c r="D63" s="189">
        <f t="shared" si="2"/>
        <v>420000</v>
      </c>
      <c r="E63" s="175"/>
      <c r="F63" s="175"/>
      <c r="G63" s="175"/>
      <c r="H63" s="94"/>
    </row>
    <row r="64" spans="1:8" ht="15">
      <c r="A64" s="187" t="s">
        <v>533</v>
      </c>
      <c r="B64" s="188">
        <v>1500</v>
      </c>
      <c r="C64" s="189">
        <v>14</v>
      </c>
      <c r="D64" s="189">
        <f t="shared" si="2"/>
        <v>21000</v>
      </c>
      <c r="E64" s="175"/>
      <c r="F64" s="175"/>
      <c r="G64" s="175"/>
      <c r="H64" s="94"/>
    </row>
    <row r="65" spans="1:8" ht="15">
      <c r="A65" s="187" t="s">
        <v>51</v>
      </c>
      <c r="B65" s="188">
        <v>50</v>
      </c>
      <c r="C65" s="189">
        <v>180</v>
      </c>
      <c r="D65" s="189">
        <f t="shared" si="2"/>
        <v>9000</v>
      </c>
      <c r="E65" s="175"/>
      <c r="F65" s="175"/>
      <c r="G65" s="175"/>
      <c r="H65" s="94"/>
    </row>
    <row r="66" spans="1:8" ht="15">
      <c r="A66" s="187" t="s">
        <v>52</v>
      </c>
      <c r="B66" s="188">
        <v>30</v>
      </c>
      <c r="C66" s="189">
        <v>340</v>
      </c>
      <c r="D66" s="189">
        <f t="shared" si="2"/>
        <v>10200</v>
      </c>
      <c r="E66" s="175"/>
      <c r="F66" s="175"/>
      <c r="G66" s="175"/>
      <c r="H66" s="94"/>
    </row>
    <row r="67" spans="1:8" ht="15">
      <c r="A67" s="187" t="s">
        <v>53</v>
      </c>
      <c r="B67" s="188">
        <v>40</v>
      </c>
      <c r="C67" s="189">
        <v>35</v>
      </c>
      <c r="D67" s="189">
        <f t="shared" si="2"/>
        <v>1400</v>
      </c>
      <c r="E67" s="175"/>
      <c r="F67" s="175"/>
      <c r="G67" s="175"/>
      <c r="H67" s="94"/>
    </row>
    <row r="68" spans="1:8" ht="15">
      <c r="A68" s="187" t="s">
        <v>54</v>
      </c>
      <c r="B68" s="188">
        <v>4</v>
      </c>
      <c r="C68" s="189">
        <v>780</v>
      </c>
      <c r="D68" s="189">
        <f t="shared" si="2"/>
        <v>3120</v>
      </c>
      <c r="E68" s="175"/>
      <c r="F68" s="175"/>
      <c r="G68" s="175"/>
      <c r="H68" s="94"/>
    </row>
    <row r="69" spans="1:8" ht="15">
      <c r="A69" s="187" t="s">
        <v>55</v>
      </c>
      <c r="B69" s="188">
        <v>2</v>
      </c>
      <c r="C69" s="189">
        <v>2850</v>
      </c>
      <c r="D69" s="189">
        <f t="shared" si="2"/>
        <v>5700</v>
      </c>
      <c r="E69" s="175"/>
      <c r="F69" s="175"/>
      <c r="G69" s="175"/>
      <c r="H69" s="94"/>
    </row>
    <row r="70" spans="1:8" ht="15">
      <c r="A70" s="187" t="s">
        <v>56</v>
      </c>
      <c r="B70" s="188">
        <v>2</v>
      </c>
      <c r="C70" s="189">
        <v>2310</v>
      </c>
      <c r="D70" s="189">
        <f t="shared" si="2"/>
        <v>4620</v>
      </c>
      <c r="E70" s="175"/>
      <c r="F70" s="175"/>
      <c r="G70" s="175"/>
      <c r="H70" s="94"/>
    </row>
    <row r="71" spans="1:8" ht="15">
      <c r="A71" s="187" t="s">
        <v>57</v>
      </c>
      <c r="B71" s="188">
        <v>60</v>
      </c>
      <c r="C71" s="189">
        <v>80</v>
      </c>
      <c r="D71" s="189">
        <f t="shared" si="2"/>
        <v>4800</v>
      </c>
      <c r="E71" s="175"/>
      <c r="F71" s="175"/>
      <c r="G71" s="175"/>
      <c r="H71" s="94"/>
    </row>
    <row r="72" spans="1:8" ht="15">
      <c r="A72" s="187" t="s">
        <v>58</v>
      </c>
      <c r="B72" s="188">
        <v>30</v>
      </c>
      <c r="C72" s="189">
        <v>220</v>
      </c>
      <c r="D72" s="189">
        <f t="shared" si="2"/>
        <v>6600</v>
      </c>
      <c r="E72" s="175"/>
      <c r="F72" s="175"/>
      <c r="G72" s="175"/>
      <c r="H72" s="94"/>
    </row>
    <row r="73" spans="1:8" ht="15">
      <c r="A73" s="187" t="s">
        <v>59</v>
      </c>
      <c r="B73" s="188">
        <v>30</v>
      </c>
      <c r="C73" s="189">
        <v>150</v>
      </c>
      <c r="D73" s="189">
        <f t="shared" si="2"/>
        <v>4500</v>
      </c>
      <c r="E73" s="175"/>
      <c r="F73" s="175"/>
      <c r="G73" s="175"/>
      <c r="H73" s="94"/>
    </row>
    <row r="74" spans="1:8" ht="15">
      <c r="A74" s="187" t="s">
        <v>60</v>
      </c>
      <c r="B74" s="188">
        <v>30</v>
      </c>
      <c r="C74" s="189">
        <v>210</v>
      </c>
      <c r="D74" s="189">
        <f t="shared" si="2"/>
        <v>6300</v>
      </c>
      <c r="E74" s="175"/>
      <c r="F74" s="175"/>
      <c r="G74" s="175"/>
      <c r="H74" s="94"/>
    </row>
    <row r="75" spans="1:8" ht="15">
      <c r="A75" s="187" t="s">
        <v>61</v>
      </c>
      <c r="B75" s="188">
        <v>30</v>
      </c>
      <c r="C75" s="189">
        <v>52</v>
      </c>
      <c r="D75" s="189">
        <f t="shared" si="2"/>
        <v>1560</v>
      </c>
      <c r="E75" s="175"/>
      <c r="F75" s="175"/>
      <c r="G75" s="175"/>
      <c r="H75" s="94"/>
    </row>
    <row r="76" spans="1:8" ht="15">
      <c r="A76" s="187" t="s">
        <v>62</v>
      </c>
      <c r="B76" s="188">
        <v>30</v>
      </c>
      <c r="C76" s="189">
        <v>126</v>
      </c>
      <c r="D76" s="189">
        <f t="shared" si="2"/>
        <v>3780</v>
      </c>
      <c r="E76" s="175"/>
      <c r="F76" s="175"/>
      <c r="G76" s="175"/>
      <c r="H76" s="94"/>
    </row>
    <row r="77" spans="1:8" ht="15">
      <c r="A77" s="187" t="s">
        <v>63</v>
      </c>
      <c r="B77" s="188">
        <v>30</v>
      </c>
      <c r="C77" s="189">
        <v>960</v>
      </c>
      <c r="D77" s="189">
        <f t="shared" si="2"/>
        <v>28800</v>
      </c>
      <c r="E77" s="175"/>
      <c r="F77" s="175"/>
      <c r="G77" s="175"/>
      <c r="H77" s="94"/>
    </row>
    <row r="78" spans="1:8" ht="15.6">
      <c r="A78" s="25" t="s">
        <v>64</v>
      </c>
      <c r="B78" s="167"/>
      <c r="C78" s="4"/>
      <c r="D78" s="174">
        <f>SUM(D79:D88)</f>
        <v>2798320</v>
      </c>
      <c r="E78" s="175"/>
      <c r="F78" s="175"/>
      <c r="G78" s="175"/>
      <c r="H78" s="94"/>
    </row>
    <row r="79" spans="1:8" ht="15">
      <c r="A79" s="187" t="s">
        <v>65</v>
      </c>
      <c r="B79" s="188">
        <v>120</v>
      </c>
      <c r="C79" s="189">
        <v>200</v>
      </c>
      <c r="D79" s="189">
        <f t="shared" si="2"/>
        <v>24000</v>
      </c>
      <c r="E79" s="175"/>
      <c r="F79" s="175"/>
      <c r="G79" s="175"/>
      <c r="H79" s="94"/>
    </row>
    <row r="80" spans="1:8" ht="15">
      <c r="A80" s="187" t="s">
        <v>66</v>
      </c>
      <c r="B80" s="188">
        <v>120</v>
      </c>
      <c r="C80" s="189">
        <v>120</v>
      </c>
      <c r="D80" s="189">
        <f t="shared" si="2"/>
        <v>14400</v>
      </c>
      <c r="E80" s="175"/>
      <c r="F80" s="175"/>
      <c r="G80" s="175"/>
      <c r="H80" s="94"/>
    </row>
    <row r="81" spans="1:8" ht="15">
      <c r="A81" s="187" t="s">
        <v>67</v>
      </c>
      <c r="B81" s="188">
        <v>120</v>
      </c>
      <c r="C81" s="189">
        <v>225</v>
      </c>
      <c r="D81" s="189">
        <f t="shared" si="2"/>
        <v>27000</v>
      </c>
      <c r="E81" s="175"/>
      <c r="F81" s="175"/>
      <c r="G81" s="175"/>
      <c r="H81" s="94"/>
    </row>
    <row r="82" spans="1:8" ht="15">
      <c r="A82" s="187" t="s">
        <v>68</v>
      </c>
      <c r="B82" s="188">
        <v>120</v>
      </c>
      <c r="C82" s="189">
        <v>173</v>
      </c>
      <c r="D82" s="189">
        <f t="shared" si="2"/>
        <v>20760</v>
      </c>
      <c r="E82" s="175"/>
      <c r="F82" s="175"/>
      <c r="G82" s="175"/>
      <c r="H82" s="94"/>
    </row>
    <row r="83" spans="1:8" ht="15">
      <c r="A83" s="187" t="s">
        <v>69</v>
      </c>
      <c r="B83" s="188">
        <v>40</v>
      </c>
      <c r="C83" s="189">
        <v>175</v>
      </c>
      <c r="D83" s="189">
        <f t="shared" si="2"/>
        <v>7000</v>
      </c>
      <c r="E83" s="175"/>
      <c r="F83" s="175"/>
      <c r="G83" s="175"/>
      <c r="H83" s="94"/>
    </row>
    <row r="84" spans="1:8" ht="15">
      <c r="A84" s="187" t="s">
        <v>70</v>
      </c>
      <c r="B84" s="188">
        <v>48</v>
      </c>
      <c r="C84" s="189">
        <v>195</v>
      </c>
      <c r="D84" s="189">
        <f t="shared" si="2"/>
        <v>9360</v>
      </c>
      <c r="E84" s="175"/>
      <c r="F84" s="175"/>
      <c r="G84" s="175"/>
      <c r="H84" s="94"/>
    </row>
    <row r="85" spans="1:8" ht="15">
      <c r="A85" s="187" t="s">
        <v>71</v>
      </c>
      <c r="B85" s="188">
        <v>48</v>
      </c>
      <c r="C85" s="189">
        <v>350</v>
      </c>
      <c r="D85" s="189">
        <f t="shared" si="2"/>
        <v>16800</v>
      </c>
      <c r="E85" s="175"/>
      <c r="F85" s="175"/>
      <c r="G85" s="175"/>
      <c r="H85" s="94"/>
    </row>
    <row r="86" spans="1:8" ht="15">
      <c r="A86" s="187" t="s">
        <v>72</v>
      </c>
      <c r="B86" s="188">
        <v>100</v>
      </c>
      <c r="C86" s="189">
        <v>100</v>
      </c>
      <c r="D86" s="189">
        <f t="shared" si="2"/>
        <v>10000</v>
      </c>
      <c r="E86" s="175"/>
      <c r="F86" s="175"/>
      <c r="G86" s="175"/>
      <c r="H86" s="94"/>
    </row>
    <row r="87" spans="1:8" ht="15">
      <c r="A87" s="187" t="s">
        <v>73</v>
      </c>
      <c r="B87" s="188">
        <v>60</v>
      </c>
      <c r="C87" s="189">
        <v>150</v>
      </c>
      <c r="D87" s="189">
        <f t="shared" si="2"/>
        <v>9000</v>
      </c>
      <c r="E87" s="175"/>
      <c r="F87" s="175"/>
      <c r="G87" s="175"/>
      <c r="H87" s="94"/>
    </row>
    <row r="88" spans="1:8" ht="15">
      <c r="A88" s="187" t="s">
        <v>74</v>
      </c>
      <c r="B88" s="188">
        <v>2000</v>
      </c>
      <c r="C88" s="189">
        <v>1330</v>
      </c>
      <c r="D88" s="189">
        <f t="shared" si="2"/>
        <v>2660000</v>
      </c>
      <c r="E88" s="175"/>
      <c r="F88" s="175"/>
      <c r="G88" s="175"/>
      <c r="H88" s="94"/>
    </row>
    <row r="89" spans="1:8" ht="15.6">
      <c r="A89" s="170" t="s">
        <v>1009</v>
      </c>
      <c r="B89" s="154"/>
      <c r="C89" s="155"/>
      <c r="D89" s="155">
        <f>SUM(D90:D108)</f>
        <v>30165800</v>
      </c>
      <c r="E89" s="156"/>
      <c r="F89" s="157"/>
      <c r="G89" s="157"/>
      <c r="H89" s="94"/>
    </row>
    <row r="90" spans="1:8" ht="15">
      <c r="A90" s="191" t="s">
        <v>75</v>
      </c>
      <c r="B90" s="192">
        <f>2.5*700</f>
        <v>1750</v>
      </c>
      <c r="C90" s="193">
        <v>2300</v>
      </c>
      <c r="D90" s="193">
        <f>+B90*C90</f>
        <v>4025000</v>
      </c>
      <c r="E90" s="175"/>
      <c r="F90" s="175"/>
      <c r="G90" s="175"/>
      <c r="H90" s="94"/>
    </row>
    <row r="91" spans="1:8" ht="15">
      <c r="A91" s="3" t="s">
        <v>76</v>
      </c>
      <c r="B91" s="192">
        <v>7000</v>
      </c>
      <c r="C91" s="4">
        <v>200</v>
      </c>
      <c r="D91" s="4">
        <f>+B91*C91</f>
        <v>1400000</v>
      </c>
      <c r="E91" s="175"/>
      <c r="F91" s="175"/>
      <c r="G91" s="175"/>
      <c r="H91" s="94"/>
    </row>
    <row r="92" spans="1:8" ht="15">
      <c r="A92" s="3" t="s">
        <v>77</v>
      </c>
      <c r="B92" s="192">
        <f>2*700</f>
        <v>1400</v>
      </c>
      <c r="C92" s="4">
        <v>640</v>
      </c>
      <c r="D92" s="4">
        <f>+B92*C92</f>
        <v>896000</v>
      </c>
      <c r="E92" s="175"/>
      <c r="F92" s="175"/>
      <c r="G92" s="175"/>
      <c r="H92" s="94"/>
    </row>
    <row r="93" spans="1:8" ht="15">
      <c r="A93" s="3" t="s">
        <v>78</v>
      </c>
      <c r="B93" s="192">
        <f>2*700</f>
        <v>1400</v>
      </c>
      <c r="C93" s="4">
        <v>200</v>
      </c>
      <c r="D93" s="4">
        <f t="shared" ref="D93:D108" si="3">+B93*C93</f>
        <v>280000</v>
      </c>
      <c r="E93" s="175"/>
      <c r="F93" s="175"/>
      <c r="G93" s="175"/>
      <c r="H93" s="94"/>
    </row>
    <row r="94" spans="1:8" ht="15">
      <c r="A94" s="3" t="s">
        <v>79</v>
      </c>
      <c r="B94" s="167">
        <f>2*700</f>
        <v>1400</v>
      </c>
      <c r="C94" s="4">
        <v>2950</v>
      </c>
      <c r="D94" s="4">
        <f t="shared" si="3"/>
        <v>4130000</v>
      </c>
      <c r="E94" s="175"/>
      <c r="F94" s="175"/>
      <c r="G94" s="175"/>
      <c r="H94" s="94"/>
    </row>
    <row r="95" spans="1:8" ht="15">
      <c r="A95" s="3" t="s">
        <v>80</v>
      </c>
      <c r="B95" s="167">
        <v>4200</v>
      </c>
      <c r="C95" s="4">
        <v>149</v>
      </c>
      <c r="D95" s="4">
        <f t="shared" si="3"/>
        <v>625800</v>
      </c>
      <c r="E95" s="175"/>
      <c r="F95" s="175"/>
      <c r="G95" s="175"/>
      <c r="H95" s="94"/>
    </row>
    <row r="96" spans="1:8" ht="15">
      <c r="A96" s="3" t="s">
        <v>81</v>
      </c>
      <c r="B96" s="167">
        <v>1750</v>
      </c>
      <c r="C96" s="4">
        <v>200</v>
      </c>
      <c r="D96" s="4">
        <f t="shared" si="3"/>
        <v>350000</v>
      </c>
      <c r="E96" s="175"/>
      <c r="F96" s="175"/>
      <c r="G96" s="175"/>
      <c r="H96" s="94"/>
    </row>
    <row r="97" spans="1:8" ht="15">
      <c r="A97" s="3" t="s">
        <v>82</v>
      </c>
      <c r="B97" s="167">
        <f>10*700</f>
        <v>7000</v>
      </c>
      <c r="C97" s="4">
        <v>170</v>
      </c>
      <c r="D97" s="4">
        <f t="shared" si="3"/>
        <v>1190000</v>
      </c>
      <c r="E97" s="175"/>
      <c r="F97" s="175"/>
      <c r="G97" s="175"/>
      <c r="H97" s="94"/>
    </row>
    <row r="98" spans="1:8" ht="15">
      <c r="A98" s="3" t="s">
        <v>83</v>
      </c>
      <c r="B98" s="194">
        <f>10*700</f>
        <v>7000</v>
      </c>
      <c r="C98" s="4">
        <v>250</v>
      </c>
      <c r="D98" s="4">
        <f t="shared" si="3"/>
        <v>1750000</v>
      </c>
      <c r="E98" s="175"/>
      <c r="F98" s="175"/>
      <c r="G98" s="175"/>
      <c r="H98" s="94"/>
    </row>
    <row r="99" spans="1:8" ht="15">
      <c r="A99" s="3" t="s">
        <v>84</v>
      </c>
      <c r="B99" s="194">
        <f>700*2</f>
        <v>1400</v>
      </c>
      <c r="C99" s="4">
        <v>1400</v>
      </c>
      <c r="D99" s="4">
        <f t="shared" si="3"/>
        <v>1960000</v>
      </c>
      <c r="E99" s="175"/>
      <c r="F99" s="175"/>
      <c r="G99" s="175"/>
      <c r="H99" s="94"/>
    </row>
    <row r="100" spans="1:8" ht="15">
      <c r="A100" s="3" t="s">
        <v>85</v>
      </c>
      <c r="B100" s="194">
        <v>700</v>
      </c>
      <c r="C100" s="4">
        <v>2500</v>
      </c>
      <c r="D100" s="4">
        <f t="shared" si="3"/>
        <v>1750000</v>
      </c>
      <c r="E100" s="175"/>
      <c r="F100" s="175"/>
      <c r="G100" s="175"/>
      <c r="H100" s="94"/>
    </row>
    <row r="101" spans="1:8" ht="15">
      <c r="A101" s="3" t="s">
        <v>86</v>
      </c>
      <c r="B101" s="194">
        <f>700*2</f>
        <v>1400</v>
      </c>
      <c r="C101" s="4">
        <v>780</v>
      </c>
      <c r="D101" s="4">
        <f t="shared" si="3"/>
        <v>1092000</v>
      </c>
      <c r="E101" s="175"/>
      <c r="F101" s="175"/>
      <c r="G101" s="175"/>
      <c r="H101" s="94"/>
    </row>
    <row r="102" spans="1:8" ht="15">
      <c r="A102" s="3" t="s">
        <v>87</v>
      </c>
      <c r="B102" s="194">
        <f>3*700</f>
        <v>2100</v>
      </c>
      <c r="C102" s="4">
        <v>650</v>
      </c>
      <c r="D102" s="4">
        <f t="shared" si="3"/>
        <v>1365000</v>
      </c>
      <c r="E102" s="175"/>
      <c r="F102" s="175"/>
      <c r="G102" s="175"/>
      <c r="H102" s="94"/>
    </row>
    <row r="103" spans="1:8" ht="15">
      <c r="A103" s="3" t="s">
        <v>88</v>
      </c>
      <c r="B103" s="194">
        <v>800</v>
      </c>
      <c r="C103" s="4">
        <v>1950</v>
      </c>
      <c r="D103" s="4">
        <f t="shared" si="3"/>
        <v>1560000</v>
      </c>
      <c r="E103" s="175"/>
      <c r="F103" s="175"/>
      <c r="G103" s="175"/>
      <c r="H103" s="94"/>
    </row>
    <row r="104" spans="1:8" ht="15">
      <c r="A104" s="3" t="s">
        <v>89</v>
      </c>
      <c r="B104" s="194">
        <f>2*700</f>
        <v>1400</v>
      </c>
      <c r="C104" s="4">
        <v>245</v>
      </c>
      <c r="D104" s="4">
        <f t="shared" si="3"/>
        <v>343000</v>
      </c>
      <c r="E104" s="175"/>
      <c r="F104" s="175"/>
      <c r="G104" s="175"/>
      <c r="H104" s="94"/>
    </row>
    <row r="105" spans="1:8" ht="15">
      <c r="A105" s="3" t="s">
        <v>90</v>
      </c>
      <c r="B105" s="194">
        <v>700</v>
      </c>
      <c r="C105" s="4">
        <v>630</v>
      </c>
      <c r="D105" s="4">
        <f t="shared" si="3"/>
        <v>441000</v>
      </c>
      <c r="E105" s="175"/>
      <c r="F105" s="175"/>
      <c r="G105" s="175"/>
      <c r="H105" s="94"/>
    </row>
    <row r="106" spans="1:8" ht="15">
      <c r="A106" s="3" t="s">
        <v>91</v>
      </c>
      <c r="B106" s="194">
        <v>800</v>
      </c>
      <c r="C106" s="4">
        <v>385</v>
      </c>
      <c r="D106" s="4">
        <f t="shared" si="3"/>
        <v>308000</v>
      </c>
      <c r="E106" s="175"/>
      <c r="F106" s="175"/>
      <c r="G106" s="175"/>
      <c r="H106" s="94"/>
    </row>
    <row r="107" spans="1:8" ht="15">
      <c r="A107" s="3" t="s">
        <v>92</v>
      </c>
      <c r="B107" s="194">
        <v>900</v>
      </c>
      <c r="C107" s="4">
        <v>5500</v>
      </c>
      <c r="D107" s="4">
        <f t="shared" si="3"/>
        <v>4950000</v>
      </c>
      <c r="E107" s="175"/>
      <c r="F107" s="175"/>
      <c r="G107" s="175"/>
      <c r="H107" s="94"/>
    </row>
    <row r="108" spans="1:8" ht="15">
      <c r="A108" s="3" t="s">
        <v>769</v>
      </c>
      <c r="B108" s="194">
        <v>700</v>
      </c>
      <c r="C108" s="4">
        <v>2500</v>
      </c>
      <c r="D108" s="4">
        <f t="shared" si="3"/>
        <v>1750000</v>
      </c>
      <c r="E108" s="175"/>
      <c r="F108" s="175"/>
      <c r="G108" s="175"/>
      <c r="H108" s="94"/>
    </row>
    <row r="109" spans="1:8" ht="31.2">
      <c r="A109" s="170" t="s">
        <v>1008</v>
      </c>
      <c r="B109" s="154"/>
      <c r="C109" s="155"/>
      <c r="D109" s="155">
        <f>SUM(D110:D128)</f>
        <v>18283100</v>
      </c>
      <c r="E109" s="156"/>
      <c r="F109" s="157"/>
      <c r="G109" s="157"/>
      <c r="H109" s="94"/>
    </row>
    <row r="110" spans="1:8" ht="15">
      <c r="A110" s="191" t="s">
        <v>93</v>
      </c>
      <c r="B110" s="192">
        <v>700</v>
      </c>
      <c r="C110" s="193">
        <v>800</v>
      </c>
      <c r="D110" s="193">
        <f>+B110*C110</f>
        <v>560000</v>
      </c>
      <c r="E110" s="175"/>
      <c r="F110" s="175"/>
      <c r="G110" s="175"/>
      <c r="H110" s="94"/>
    </row>
    <row r="111" spans="1:8" ht="15">
      <c r="A111" s="191" t="s">
        <v>94</v>
      </c>
      <c r="B111" s="192">
        <f>5*700</f>
        <v>3500</v>
      </c>
      <c r="C111" s="193">
        <v>640</v>
      </c>
      <c r="D111" s="4">
        <f t="shared" ref="D111:D128" si="4">+B111*C111</f>
        <v>2240000</v>
      </c>
      <c r="E111" s="175"/>
      <c r="F111" s="175"/>
      <c r="G111" s="175"/>
      <c r="H111" s="94"/>
    </row>
    <row r="112" spans="1:8" ht="15">
      <c r="A112" s="191" t="s">
        <v>95</v>
      </c>
      <c r="B112" s="192">
        <v>700</v>
      </c>
      <c r="C112" s="193">
        <v>180</v>
      </c>
      <c r="D112" s="4">
        <f t="shared" si="4"/>
        <v>126000</v>
      </c>
      <c r="E112" s="175"/>
      <c r="F112" s="175"/>
      <c r="G112" s="175"/>
      <c r="H112" s="94"/>
    </row>
    <row r="113" spans="1:8" ht="15">
      <c r="A113" s="3" t="s">
        <v>96</v>
      </c>
      <c r="B113" s="167">
        <f>5*700</f>
        <v>3500</v>
      </c>
      <c r="C113" s="4">
        <v>650</v>
      </c>
      <c r="D113" s="4">
        <f t="shared" si="4"/>
        <v>2275000</v>
      </c>
      <c r="E113" s="175"/>
      <c r="F113" s="175"/>
      <c r="G113" s="175"/>
      <c r="H113" s="94"/>
    </row>
    <row r="114" spans="1:8" ht="15">
      <c r="A114" s="3" t="s">
        <v>97</v>
      </c>
      <c r="B114" s="167">
        <f>4*700</f>
        <v>2800</v>
      </c>
      <c r="C114" s="4">
        <v>200</v>
      </c>
      <c r="D114" s="4">
        <f t="shared" si="4"/>
        <v>560000</v>
      </c>
      <c r="E114" s="175"/>
      <c r="F114" s="175"/>
      <c r="G114" s="175"/>
      <c r="H114" s="94"/>
    </row>
    <row r="115" spans="1:8" ht="15">
      <c r="A115" s="3" t="s">
        <v>98</v>
      </c>
      <c r="B115" s="167">
        <f>10*75</f>
        <v>750</v>
      </c>
      <c r="C115" s="4">
        <v>150</v>
      </c>
      <c r="D115" s="4">
        <f t="shared" si="4"/>
        <v>112500</v>
      </c>
      <c r="E115" s="175"/>
      <c r="F115" s="175"/>
      <c r="G115" s="175"/>
      <c r="H115" s="94"/>
    </row>
    <row r="116" spans="1:8" ht="15">
      <c r="A116" s="3" t="s">
        <v>99</v>
      </c>
      <c r="B116" s="167">
        <v>750</v>
      </c>
      <c r="C116" s="4">
        <v>210</v>
      </c>
      <c r="D116" s="4">
        <f t="shared" si="4"/>
        <v>157500</v>
      </c>
      <c r="E116" s="175"/>
      <c r="F116" s="175"/>
      <c r="G116" s="175"/>
      <c r="H116" s="94"/>
    </row>
    <row r="117" spans="1:8" ht="15">
      <c r="A117" s="3" t="s">
        <v>100</v>
      </c>
      <c r="B117" s="167">
        <f>4*700</f>
        <v>2800</v>
      </c>
      <c r="C117" s="4">
        <v>250</v>
      </c>
      <c r="D117" s="4">
        <f t="shared" si="4"/>
        <v>700000</v>
      </c>
      <c r="E117" s="175"/>
      <c r="F117" s="175"/>
      <c r="G117" s="175"/>
      <c r="H117" s="94"/>
    </row>
    <row r="118" spans="1:8" ht="15">
      <c r="A118" s="3" t="s">
        <v>101</v>
      </c>
      <c r="B118" s="167">
        <f>2*700</f>
        <v>1400</v>
      </c>
      <c r="C118" s="4">
        <v>200</v>
      </c>
      <c r="D118" s="4">
        <f t="shared" si="4"/>
        <v>280000</v>
      </c>
      <c r="E118" s="175"/>
      <c r="F118" s="175"/>
      <c r="G118" s="175"/>
      <c r="H118" s="94"/>
    </row>
    <row r="119" spans="1:8" ht="15">
      <c r="A119" s="3" t="s">
        <v>102</v>
      </c>
      <c r="B119" s="167">
        <v>700</v>
      </c>
      <c r="C119" s="4">
        <v>2950</v>
      </c>
      <c r="D119" s="4">
        <f t="shared" si="4"/>
        <v>2065000</v>
      </c>
      <c r="E119" s="175"/>
      <c r="F119" s="175"/>
      <c r="G119" s="175"/>
      <c r="H119" s="94"/>
    </row>
    <row r="120" spans="1:8" ht="15">
      <c r="A120" s="3" t="s">
        <v>103</v>
      </c>
      <c r="B120" s="167">
        <f>2*700</f>
        <v>1400</v>
      </c>
      <c r="C120" s="4">
        <v>150</v>
      </c>
      <c r="D120" s="4">
        <f t="shared" si="4"/>
        <v>210000</v>
      </c>
      <c r="E120" s="175"/>
      <c r="F120" s="175"/>
      <c r="G120" s="175"/>
      <c r="H120" s="94"/>
    </row>
    <row r="121" spans="1:8" ht="15">
      <c r="A121" s="3" t="s">
        <v>104</v>
      </c>
      <c r="B121" s="167">
        <f>700*7</f>
        <v>4900</v>
      </c>
      <c r="C121" s="4">
        <v>150</v>
      </c>
      <c r="D121" s="4">
        <f t="shared" si="4"/>
        <v>735000</v>
      </c>
      <c r="E121" s="175"/>
      <c r="F121" s="175"/>
      <c r="G121" s="175"/>
      <c r="H121" s="94"/>
    </row>
    <row r="122" spans="1:8" ht="15">
      <c r="A122" s="3" t="s">
        <v>105</v>
      </c>
      <c r="B122" s="167">
        <f>700*7</f>
        <v>4900</v>
      </c>
      <c r="C122" s="4">
        <v>150</v>
      </c>
      <c r="D122" s="4">
        <f t="shared" si="4"/>
        <v>735000</v>
      </c>
      <c r="E122" s="175"/>
      <c r="F122" s="175"/>
      <c r="G122" s="175"/>
      <c r="H122" s="94"/>
    </row>
    <row r="123" spans="1:8" ht="15">
      <c r="A123" s="3" t="s">
        <v>106</v>
      </c>
      <c r="B123" s="167">
        <f>700*10</f>
        <v>7000</v>
      </c>
      <c r="C123" s="4">
        <v>150</v>
      </c>
      <c r="D123" s="4">
        <f t="shared" si="4"/>
        <v>1050000</v>
      </c>
      <c r="E123" s="175"/>
      <c r="F123" s="175"/>
      <c r="G123" s="175"/>
      <c r="H123" s="94"/>
    </row>
    <row r="124" spans="1:8" ht="15">
      <c r="A124" s="3" t="s">
        <v>107</v>
      </c>
      <c r="B124" s="194">
        <v>700</v>
      </c>
      <c r="C124" s="4">
        <v>1750</v>
      </c>
      <c r="D124" s="4">
        <f t="shared" si="4"/>
        <v>1225000</v>
      </c>
      <c r="E124" s="175"/>
      <c r="F124" s="175"/>
      <c r="G124" s="175"/>
      <c r="H124" s="94"/>
    </row>
    <row r="125" spans="1:8" ht="15">
      <c r="A125" s="3" t="s">
        <v>108</v>
      </c>
      <c r="B125" s="194">
        <v>700</v>
      </c>
      <c r="C125" s="4">
        <v>550</v>
      </c>
      <c r="D125" s="4">
        <f t="shared" si="4"/>
        <v>385000</v>
      </c>
      <c r="E125" s="175"/>
      <c r="F125" s="175"/>
      <c r="G125" s="175"/>
      <c r="H125" s="94"/>
    </row>
    <row r="126" spans="1:8" ht="15">
      <c r="A126" s="3" t="s">
        <v>109</v>
      </c>
      <c r="B126" s="194">
        <v>700</v>
      </c>
      <c r="C126" s="4">
        <v>2800</v>
      </c>
      <c r="D126" s="4">
        <f t="shared" si="4"/>
        <v>1960000</v>
      </c>
      <c r="E126" s="175"/>
      <c r="F126" s="175"/>
      <c r="G126" s="175"/>
      <c r="H126" s="94"/>
    </row>
    <row r="127" spans="1:8" ht="15">
      <c r="A127" s="3" t="s">
        <v>110</v>
      </c>
      <c r="B127" s="194">
        <v>700</v>
      </c>
      <c r="C127" s="4">
        <v>3445</v>
      </c>
      <c r="D127" s="4">
        <f t="shared" si="4"/>
        <v>2411500</v>
      </c>
      <c r="E127" s="175"/>
      <c r="F127" s="175"/>
      <c r="G127" s="175"/>
      <c r="H127" s="94"/>
    </row>
    <row r="128" spans="1:8" ht="15">
      <c r="A128" s="3" t="s">
        <v>111</v>
      </c>
      <c r="B128" s="194">
        <f>2*700</f>
        <v>1400</v>
      </c>
      <c r="C128" s="4">
        <v>354</v>
      </c>
      <c r="D128" s="4">
        <f t="shared" si="4"/>
        <v>495600</v>
      </c>
      <c r="E128" s="175"/>
      <c r="F128" s="175"/>
      <c r="G128" s="175"/>
      <c r="H128" s="94"/>
    </row>
    <row r="129" spans="1:8" ht="15.6">
      <c r="A129" s="25" t="s">
        <v>128</v>
      </c>
      <c r="B129" s="171"/>
      <c r="C129" s="4"/>
      <c r="D129" s="155">
        <f>SUM(D130:D134)</f>
        <v>183100</v>
      </c>
      <c r="E129" s="26"/>
      <c r="F129" s="26"/>
      <c r="G129" s="26"/>
      <c r="H129" s="94"/>
    </row>
    <row r="130" spans="1:8" ht="15">
      <c r="A130" s="3" t="s">
        <v>123</v>
      </c>
      <c r="B130" s="171">
        <v>4</v>
      </c>
      <c r="C130" s="4">
        <v>6000</v>
      </c>
      <c r="D130" s="161">
        <f>+B130*C130</f>
        <v>24000</v>
      </c>
      <c r="E130" s="26"/>
      <c r="F130" s="26"/>
      <c r="G130" s="26"/>
      <c r="H130" s="94"/>
    </row>
    <row r="131" spans="1:8" ht="15">
      <c r="A131" s="3" t="s">
        <v>124</v>
      </c>
      <c r="B131" s="171">
        <v>5</v>
      </c>
      <c r="C131" s="4">
        <v>360</v>
      </c>
      <c r="D131" s="161">
        <f>+B131*C131</f>
        <v>1800</v>
      </c>
      <c r="E131" s="26"/>
      <c r="F131" s="26"/>
      <c r="G131" s="26"/>
      <c r="H131" s="94"/>
    </row>
    <row r="132" spans="1:8" ht="15">
      <c r="A132" s="3" t="s">
        <v>125</v>
      </c>
      <c r="B132" s="171">
        <v>700</v>
      </c>
      <c r="C132" s="4">
        <v>50</v>
      </c>
      <c r="D132" s="161">
        <f>+B132*C132</f>
        <v>35000</v>
      </c>
      <c r="E132" s="26"/>
      <c r="F132" s="26"/>
      <c r="G132" s="26"/>
      <c r="H132" s="94"/>
    </row>
    <row r="133" spans="1:8" ht="15">
      <c r="A133" s="3" t="s">
        <v>126</v>
      </c>
      <c r="B133" s="171">
        <v>700</v>
      </c>
      <c r="C133" s="4">
        <v>14</v>
      </c>
      <c r="D133" s="161">
        <f>+C133*B133</f>
        <v>9800</v>
      </c>
      <c r="E133" s="26"/>
      <c r="F133" s="26"/>
      <c r="G133" s="26"/>
      <c r="H133" s="94"/>
    </row>
    <row r="134" spans="1:8" ht="15">
      <c r="A134" s="3" t="s">
        <v>127</v>
      </c>
      <c r="B134" s="171">
        <v>750</v>
      </c>
      <c r="C134" s="4">
        <v>150</v>
      </c>
      <c r="D134" s="161">
        <f>+C134*B134</f>
        <v>112500</v>
      </c>
      <c r="E134" s="26"/>
      <c r="F134" s="26"/>
      <c r="G134" s="26"/>
      <c r="H134" s="94"/>
    </row>
    <row r="135" spans="1:8" ht="31.2">
      <c r="A135" s="214" t="s">
        <v>1</v>
      </c>
      <c r="B135" s="215"/>
      <c r="C135" s="216"/>
      <c r="D135" s="217">
        <f>+D136+D138+D223+D424+D472</f>
        <v>3903445517.1499996</v>
      </c>
      <c r="E135" s="218"/>
      <c r="F135" s="218"/>
      <c r="G135" s="218"/>
      <c r="H135" s="62"/>
    </row>
    <row r="136" spans="1:8" ht="31.2">
      <c r="A136" s="195" t="s">
        <v>2</v>
      </c>
      <c r="B136" s="195"/>
      <c r="C136" s="195"/>
      <c r="D136" s="198">
        <f>+D137</f>
        <v>5000000</v>
      </c>
      <c r="E136" s="197" t="s">
        <v>617</v>
      </c>
      <c r="F136" s="195"/>
      <c r="G136" s="197" t="s">
        <v>832</v>
      </c>
      <c r="H136" s="61"/>
    </row>
    <row r="137" spans="1:8" s="2" customFormat="1" ht="30">
      <c r="A137" s="169" t="s">
        <v>504</v>
      </c>
      <c r="B137" s="154">
        <v>1</v>
      </c>
      <c r="C137" s="155">
        <v>5000000</v>
      </c>
      <c r="D137" s="155">
        <v>5000000</v>
      </c>
      <c r="E137" s="156"/>
      <c r="F137" s="157"/>
      <c r="G137" s="157"/>
      <c r="H137" s="81" t="s">
        <v>503</v>
      </c>
    </row>
    <row r="138" spans="1:8" ht="31.2">
      <c r="A138" s="195" t="s">
        <v>3</v>
      </c>
      <c r="B138" s="195"/>
      <c r="C138" s="195"/>
      <c r="D138" s="198">
        <f>+D139+D196+D203+D201</f>
        <v>48787921.18</v>
      </c>
      <c r="E138" s="197" t="s">
        <v>617</v>
      </c>
      <c r="F138" s="195"/>
      <c r="G138" s="197" t="s">
        <v>832</v>
      </c>
      <c r="H138" s="61"/>
    </row>
    <row r="139" spans="1:8" s="1" customFormat="1" ht="15.6">
      <c r="A139" s="25" t="s">
        <v>148</v>
      </c>
      <c r="B139" s="167"/>
      <c r="C139" s="4"/>
      <c r="D139" s="174">
        <f>+SUM(D140:D194)</f>
        <v>45092224.479999997</v>
      </c>
      <c r="E139" s="26"/>
      <c r="F139" s="26"/>
      <c r="G139" s="26"/>
      <c r="H139" s="78"/>
    </row>
    <row r="140" spans="1:8" ht="30">
      <c r="A140" s="3" t="s">
        <v>772</v>
      </c>
      <c r="B140" s="26">
        <v>400</v>
      </c>
      <c r="C140" s="4">
        <v>53000</v>
      </c>
      <c r="D140" s="4">
        <f>+B140*C140</f>
        <v>21200000</v>
      </c>
      <c r="E140" s="267"/>
      <c r="F140" s="267"/>
      <c r="G140" s="267"/>
      <c r="H140" s="83" t="s">
        <v>514</v>
      </c>
    </row>
    <row r="141" spans="1:8" ht="30">
      <c r="A141" s="3" t="s">
        <v>771</v>
      </c>
      <c r="B141" s="26">
        <v>100</v>
      </c>
      <c r="C141" s="4">
        <v>100000</v>
      </c>
      <c r="D141" s="4">
        <f>+B141*C141</f>
        <v>10000000</v>
      </c>
      <c r="E141" s="267"/>
      <c r="F141" s="267"/>
      <c r="G141" s="267"/>
      <c r="H141" s="83" t="s">
        <v>514</v>
      </c>
    </row>
    <row r="142" spans="1:8" ht="15">
      <c r="A142" s="3" t="s">
        <v>149</v>
      </c>
      <c r="B142" s="26">
        <v>600</v>
      </c>
      <c r="C142" s="4">
        <v>2800</v>
      </c>
      <c r="D142" s="4">
        <f t="shared" ref="D142:D195" si="5">+B142*C142</f>
        <v>1680000</v>
      </c>
      <c r="E142" s="267"/>
      <c r="F142" s="267"/>
      <c r="G142" s="267"/>
      <c r="H142" s="268"/>
    </row>
    <row r="143" spans="1:8" ht="15">
      <c r="A143" s="3" t="s">
        <v>515</v>
      </c>
      <c r="B143" s="26">
        <v>25</v>
      </c>
      <c r="C143" s="4">
        <v>60000</v>
      </c>
      <c r="D143" s="4">
        <f t="shared" si="5"/>
        <v>1500000</v>
      </c>
      <c r="E143" s="267"/>
      <c r="F143" s="267"/>
      <c r="G143" s="267"/>
      <c r="H143" s="268" t="s">
        <v>535</v>
      </c>
    </row>
    <row r="144" spans="1:8" ht="15">
      <c r="A144" s="3" t="s">
        <v>150</v>
      </c>
      <c r="B144" s="26">
        <v>50</v>
      </c>
      <c r="C144" s="4">
        <v>15000</v>
      </c>
      <c r="D144" s="4">
        <f t="shared" si="5"/>
        <v>750000</v>
      </c>
      <c r="E144" s="26"/>
      <c r="F144" s="26"/>
      <c r="G144" s="26"/>
      <c r="H144" s="83" t="s">
        <v>516</v>
      </c>
    </row>
    <row r="145" spans="1:8" ht="15">
      <c r="A145" s="3" t="s">
        <v>151</v>
      </c>
      <c r="B145" s="26">
        <v>5</v>
      </c>
      <c r="C145" s="4">
        <v>9000</v>
      </c>
      <c r="D145" s="4">
        <f t="shared" si="5"/>
        <v>45000</v>
      </c>
      <c r="E145" s="26"/>
      <c r="F145" s="26"/>
      <c r="G145" s="26"/>
      <c r="H145" s="83" t="s">
        <v>152</v>
      </c>
    </row>
    <row r="146" spans="1:8" ht="15">
      <c r="A146" s="3" t="s">
        <v>153</v>
      </c>
      <c r="B146" s="26">
        <v>3</v>
      </c>
      <c r="C146" s="4">
        <v>9000</v>
      </c>
      <c r="D146" s="4">
        <f t="shared" si="5"/>
        <v>27000</v>
      </c>
      <c r="E146" s="26"/>
      <c r="F146" s="26"/>
      <c r="G146" s="26"/>
      <c r="H146" s="83" t="s">
        <v>152</v>
      </c>
    </row>
    <row r="147" spans="1:8" ht="15">
      <c r="A147" s="3" t="s">
        <v>517</v>
      </c>
      <c r="B147" s="26">
        <v>50</v>
      </c>
      <c r="C147" s="4">
        <v>13000</v>
      </c>
      <c r="D147" s="4">
        <f t="shared" si="5"/>
        <v>650000</v>
      </c>
      <c r="E147" s="26"/>
      <c r="F147" s="26"/>
      <c r="G147" s="26"/>
      <c r="H147" s="269" t="s">
        <v>155</v>
      </c>
    </row>
    <row r="148" spans="1:8" ht="15">
      <c r="A148" s="3" t="s">
        <v>999</v>
      </c>
      <c r="B148" s="26">
        <v>15</v>
      </c>
      <c r="C148" s="4">
        <v>13000</v>
      </c>
      <c r="D148" s="4">
        <f t="shared" si="5"/>
        <v>195000</v>
      </c>
      <c r="E148" s="26"/>
      <c r="F148" s="26"/>
      <c r="G148" s="26"/>
      <c r="H148" s="269"/>
    </row>
    <row r="149" spans="1:8" ht="15">
      <c r="A149" s="3" t="s">
        <v>154</v>
      </c>
      <c r="B149" s="26">
        <f>10+1</f>
        <v>11</v>
      </c>
      <c r="C149" s="4">
        <v>4000</v>
      </c>
      <c r="D149" s="4">
        <f t="shared" si="5"/>
        <v>44000</v>
      </c>
      <c r="E149" s="26"/>
      <c r="F149" s="26"/>
      <c r="G149" s="26"/>
      <c r="H149" s="268" t="s">
        <v>833</v>
      </c>
    </row>
    <row r="150" spans="1:8" ht="15">
      <c r="A150" s="3" t="s">
        <v>156</v>
      </c>
      <c r="B150" s="26">
        <v>3</v>
      </c>
      <c r="C150" s="4">
        <v>700000</v>
      </c>
      <c r="D150" s="4">
        <f t="shared" si="5"/>
        <v>2100000</v>
      </c>
      <c r="E150" s="26"/>
      <c r="F150" s="26"/>
      <c r="G150" s="26"/>
      <c r="H150" s="268"/>
    </row>
    <row r="151" spans="1:8" ht="15">
      <c r="A151" s="3" t="s">
        <v>518</v>
      </c>
      <c r="B151" s="26">
        <v>1</v>
      </c>
      <c r="C151" s="4">
        <v>54900</v>
      </c>
      <c r="D151" s="4">
        <f t="shared" si="5"/>
        <v>54900</v>
      </c>
      <c r="E151" s="26"/>
      <c r="F151" s="26"/>
      <c r="G151" s="26"/>
      <c r="H151" s="268"/>
    </row>
    <row r="152" spans="1:8" ht="15">
      <c r="A152" s="3" t="s">
        <v>157</v>
      </c>
      <c r="B152" s="26">
        <v>2</v>
      </c>
      <c r="C152" s="4">
        <v>350000</v>
      </c>
      <c r="D152" s="4">
        <f t="shared" si="5"/>
        <v>700000</v>
      </c>
      <c r="E152" s="26"/>
      <c r="F152" s="26"/>
      <c r="G152" s="26"/>
      <c r="H152" s="268"/>
    </row>
    <row r="153" spans="1:8" ht="15">
      <c r="A153" s="3" t="s">
        <v>158</v>
      </c>
      <c r="B153" s="26">
        <v>20</v>
      </c>
      <c r="C153" s="4">
        <v>4000</v>
      </c>
      <c r="D153" s="4">
        <f t="shared" si="5"/>
        <v>80000</v>
      </c>
      <c r="E153" s="26"/>
      <c r="F153" s="26"/>
      <c r="G153" s="26"/>
      <c r="H153" s="268"/>
    </row>
    <row r="154" spans="1:8" ht="15">
      <c r="A154" s="3" t="s">
        <v>159</v>
      </c>
      <c r="B154" s="26">
        <v>200</v>
      </c>
      <c r="C154" s="4">
        <v>4500</v>
      </c>
      <c r="D154" s="4">
        <f t="shared" si="5"/>
        <v>900000</v>
      </c>
      <c r="E154" s="26"/>
      <c r="F154" s="26"/>
      <c r="G154" s="26"/>
      <c r="H154" s="268"/>
    </row>
    <row r="155" spans="1:8" ht="15">
      <c r="A155" s="3" t="s">
        <v>160</v>
      </c>
      <c r="B155" s="26">
        <v>25</v>
      </c>
      <c r="C155" s="4">
        <v>14360</v>
      </c>
      <c r="D155" s="4">
        <f t="shared" si="5"/>
        <v>359000</v>
      </c>
      <c r="E155" s="26"/>
      <c r="F155" s="26"/>
      <c r="G155" s="26"/>
      <c r="H155" s="268"/>
    </row>
    <row r="156" spans="1:8" ht="15">
      <c r="A156" s="3" t="s">
        <v>161</v>
      </c>
      <c r="B156" s="26">
        <v>200</v>
      </c>
      <c r="C156" s="4">
        <v>16</v>
      </c>
      <c r="D156" s="4">
        <f t="shared" si="5"/>
        <v>3200</v>
      </c>
      <c r="E156" s="26"/>
      <c r="F156" s="26"/>
      <c r="G156" s="26"/>
      <c r="H156" s="270"/>
    </row>
    <row r="157" spans="1:8" ht="15">
      <c r="A157" s="3" t="s">
        <v>162</v>
      </c>
      <c r="B157" s="26">
        <v>5</v>
      </c>
      <c r="C157" s="4">
        <v>25900</v>
      </c>
      <c r="D157" s="4">
        <f t="shared" si="5"/>
        <v>129500</v>
      </c>
      <c r="E157" s="267"/>
      <c r="F157" s="267"/>
      <c r="G157" s="267"/>
      <c r="H157" s="268"/>
    </row>
    <row r="158" spans="1:8" ht="15">
      <c r="A158" s="3" t="s">
        <v>163</v>
      </c>
      <c r="B158" s="26">
        <v>10</v>
      </c>
      <c r="C158" s="4">
        <v>350</v>
      </c>
      <c r="D158" s="4">
        <f t="shared" si="5"/>
        <v>3500</v>
      </c>
      <c r="E158" s="267"/>
      <c r="F158" s="267"/>
      <c r="G158" s="267"/>
      <c r="H158" s="268"/>
    </row>
    <row r="159" spans="1:8" ht="15">
      <c r="A159" s="3" t="s">
        <v>164</v>
      </c>
      <c r="B159" s="26">
        <v>100</v>
      </c>
      <c r="C159" s="4">
        <v>340</v>
      </c>
      <c r="D159" s="4">
        <f t="shared" si="5"/>
        <v>34000</v>
      </c>
      <c r="E159" s="267"/>
      <c r="F159" s="267"/>
      <c r="G159" s="267"/>
      <c r="H159" s="268"/>
    </row>
    <row r="160" spans="1:8" ht="15">
      <c r="A160" s="3" t="s">
        <v>165</v>
      </c>
      <c r="B160" s="26">
        <v>150</v>
      </c>
      <c r="C160" s="4">
        <v>525</v>
      </c>
      <c r="D160" s="4">
        <f t="shared" si="5"/>
        <v>78750</v>
      </c>
      <c r="E160" s="267"/>
      <c r="F160" s="267"/>
      <c r="G160" s="267"/>
      <c r="H160" s="268"/>
    </row>
    <row r="161" spans="1:8" ht="15">
      <c r="A161" s="3" t="s">
        <v>166</v>
      </c>
      <c r="B161" s="26">
        <v>50</v>
      </c>
      <c r="C161" s="4">
        <v>650</v>
      </c>
      <c r="D161" s="4">
        <f t="shared" si="5"/>
        <v>32500</v>
      </c>
      <c r="E161" s="267"/>
      <c r="F161" s="267"/>
      <c r="G161" s="267"/>
      <c r="H161" s="268"/>
    </row>
    <row r="162" spans="1:8" ht="15">
      <c r="A162" s="3" t="s">
        <v>167</v>
      </c>
      <c r="B162" s="26">
        <v>150</v>
      </c>
      <c r="C162" s="4">
        <v>600</v>
      </c>
      <c r="D162" s="4">
        <f t="shared" si="5"/>
        <v>90000</v>
      </c>
      <c r="E162" s="267"/>
      <c r="F162" s="267"/>
      <c r="G162" s="267"/>
      <c r="H162" s="268"/>
    </row>
    <row r="163" spans="1:8" ht="15">
      <c r="A163" s="3" t="s">
        <v>168</v>
      </c>
      <c r="B163" s="26">
        <v>75</v>
      </c>
      <c r="C163" s="4">
        <v>1000</v>
      </c>
      <c r="D163" s="4">
        <f t="shared" si="5"/>
        <v>75000</v>
      </c>
      <c r="E163" s="267"/>
      <c r="F163" s="267"/>
      <c r="G163" s="267"/>
      <c r="H163" s="268"/>
    </row>
    <row r="164" spans="1:8" ht="19.5" customHeight="1">
      <c r="A164" s="3" t="s">
        <v>169</v>
      </c>
      <c r="B164" s="26">
        <v>50</v>
      </c>
      <c r="C164" s="4">
        <v>2500</v>
      </c>
      <c r="D164" s="4">
        <f t="shared" si="5"/>
        <v>125000</v>
      </c>
      <c r="E164" s="267"/>
      <c r="F164" s="267"/>
      <c r="G164" s="267"/>
      <c r="H164" s="268"/>
    </row>
    <row r="165" spans="1:8" ht="15">
      <c r="A165" s="3" t="s">
        <v>170</v>
      </c>
      <c r="B165" s="26">
        <v>2</v>
      </c>
      <c r="C165" s="4">
        <v>3000</v>
      </c>
      <c r="D165" s="4">
        <f t="shared" si="5"/>
        <v>6000</v>
      </c>
      <c r="E165" s="267"/>
      <c r="F165" s="267"/>
      <c r="G165" s="267"/>
      <c r="H165" s="268"/>
    </row>
    <row r="166" spans="1:8" ht="15">
      <c r="A166" s="3" t="s">
        <v>171</v>
      </c>
      <c r="B166" s="26">
        <v>3</v>
      </c>
      <c r="C166" s="4">
        <v>800</v>
      </c>
      <c r="D166" s="4">
        <f t="shared" si="5"/>
        <v>2400</v>
      </c>
      <c r="E166" s="267"/>
      <c r="F166" s="267"/>
      <c r="G166" s="267"/>
      <c r="H166" s="268"/>
    </row>
    <row r="167" spans="1:8" ht="15">
      <c r="A167" s="3" t="s">
        <v>172</v>
      </c>
      <c r="B167" s="26">
        <v>4</v>
      </c>
      <c r="C167" s="4">
        <v>2000</v>
      </c>
      <c r="D167" s="4">
        <f t="shared" si="5"/>
        <v>8000</v>
      </c>
      <c r="E167" s="267"/>
      <c r="F167" s="267"/>
      <c r="G167" s="267"/>
      <c r="H167" s="268"/>
    </row>
    <row r="168" spans="1:8" ht="15">
      <c r="A168" s="3" t="s">
        <v>173</v>
      </c>
      <c r="B168" s="26">
        <v>2</v>
      </c>
      <c r="C168" s="4">
        <v>150</v>
      </c>
      <c r="D168" s="4">
        <f t="shared" si="5"/>
        <v>300</v>
      </c>
      <c r="E168" s="267"/>
      <c r="F168" s="267"/>
      <c r="G168" s="267"/>
      <c r="H168" s="268"/>
    </row>
    <row r="169" spans="1:8" ht="15">
      <c r="A169" s="3" t="s">
        <v>174</v>
      </c>
      <c r="B169" s="26">
        <v>5</v>
      </c>
      <c r="C169" s="4">
        <v>3000</v>
      </c>
      <c r="D169" s="4">
        <f t="shared" si="5"/>
        <v>15000</v>
      </c>
      <c r="E169" s="267"/>
      <c r="F169" s="267"/>
      <c r="G169" s="267"/>
      <c r="H169" s="268"/>
    </row>
    <row r="170" spans="1:8" ht="15">
      <c r="A170" s="3" t="s">
        <v>175</v>
      </c>
      <c r="B170" s="26">
        <v>10</v>
      </c>
      <c r="C170" s="4">
        <v>50</v>
      </c>
      <c r="D170" s="4">
        <f t="shared" si="5"/>
        <v>500</v>
      </c>
      <c r="E170" s="267"/>
      <c r="F170" s="267"/>
      <c r="G170" s="267"/>
      <c r="H170" s="268"/>
    </row>
    <row r="171" spans="1:8" ht="15">
      <c r="A171" s="3" t="s">
        <v>176</v>
      </c>
      <c r="B171" s="26">
        <v>5</v>
      </c>
      <c r="C171" s="4">
        <v>3500</v>
      </c>
      <c r="D171" s="4">
        <f t="shared" si="5"/>
        <v>17500</v>
      </c>
      <c r="E171" s="267"/>
      <c r="F171" s="267"/>
      <c r="G171" s="267"/>
      <c r="H171" s="268"/>
    </row>
    <row r="172" spans="1:8" ht="15">
      <c r="A172" s="3" t="s">
        <v>177</v>
      </c>
      <c r="B172" s="26">
        <v>20</v>
      </c>
      <c r="C172" s="4">
        <v>1700</v>
      </c>
      <c r="D172" s="4">
        <f t="shared" si="5"/>
        <v>34000</v>
      </c>
      <c r="E172" s="267"/>
      <c r="F172" s="267"/>
      <c r="G172" s="267"/>
      <c r="H172" s="268"/>
    </row>
    <row r="173" spans="1:8" ht="15">
      <c r="A173" s="3" t="s">
        <v>178</v>
      </c>
      <c r="B173" s="26">
        <v>20</v>
      </c>
      <c r="C173" s="4">
        <v>1200</v>
      </c>
      <c r="D173" s="4">
        <f t="shared" si="5"/>
        <v>24000</v>
      </c>
      <c r="E173" s="267"/>
      <c r="F173" s="267"/>
      <c r="G173" s="267"/>
      <c r="H173" s="268"/>
    </row>
    <row r="174" spans="1:8" s="273" customFormat="1" ht="27.6">
      <c r="A174" s="3" t="s">
        <v>179</v>
      </c>
      <c r="B174" s="26">
        <f>1+2+3</f>
        <v>6</v>
      </c>
      <c r="C174" s="4">
        <v>30000</v>
      </c>
      <c r="D174" s="4">
        <f t="shared" si="5"/>
        <v>180000</v>
      </c>
      <c r="E174" s="271"/>
      <c r="F174" s="271"/>
      <c r="G174" s="271"/>
      <c r="H174" s="272" t="s">
        <v>519</v>
      </c>
    </row>
    <row r="175" spans="1:8" s="273" customFormat="1" ht="15">
      <c r="A175" s="3" t="s">
        <v>180</v>
      </c>
      <c r="B175" s="26">
        <v>6</v>
      </c>
      <c r="C175" s="4">
        <v>3500</v>
      </c>
      <c r="D175" s="4">
        <f t="shared" si="5"/>
        <v>21000</v>
      </c>
      <c r="E175" s="271"/>
      <c r="F175" s="271"/>
      <c r="G175" s="271"/>
      <c r="H175" s="274"/>
    </row>
    <row r="176" spans="1:8" ht="15">
      <c r="A176" s="3" t="s">
        <v>181</v>
      </c>
      <c r="B176" s="26">
        <v>5</v>
      </c>
      <c r="C176" s="4">
        <v>3400</v>
      </c>
      <c r="D176" s="4">
        <f t="shared" si="5"/>
        <v>17000</v>
      </c>
      <c r="E176" s="267"/>
      <c r="F176" s="267"/>
      <c r="G176" s="267"/>
      <c r="H176" s="268"/>
    </row>
    <row r="177" spans="1:8" ht="15">
      <c r="A177" s="3" t="s">
        <v>182</v>
      </c>
      <c r="B177" s="26">
        <v>20</v>
      </c>
      <c r="C177" s="4">
        <v>30</v>
      </c>
      <c r="D177" s="4">
        <f t="shared" si="5"/>
        <v>600</v>
      </c>
      <c r="E177" s="267"/>
      <c r="F177" s="267"/>
      <c r="G177" s="267"/>
      <c r="H177" s="268"/>
    </row>
    <row r="178" spans="1:8" ht="15">
      <c r="A178" s="3" t="s">
        <v>520</v>
      </c>
      <c r="B178" s="26">
        <f>2+2</f>
        <v>4</v>
      </c>
      <c r="C178" s="4">
        <v>7800</v>
      </c>
      <c r="D178" s="4">
        <f t="shared" si="5"/>
        <v>31200</v>
      </c>
      <c r="E178" s="267"/>
      <c r="F178" s="267"/>
      <c r="G178" s="267"/>
      <c r="H178" s="275" t="s">
        <v>521</v>
      </c>
    </row>
    <row r="179" spans="1:8" ht="15">
      <c r="A179" s="3" t="s">
        <v>522</v>
      </c>
      <c r="B179" s="26">
        <v>40</v>
      </c>
      <c r="C179" s="4">
        <v>850</v>
      </c>
      <c r="D179" s="4">
        <f t="shared" si="5"/>
        <v>34000</v>
      </c>
      <c r="E179" s="267"/>
      <c r="F179" s="267"/>
      <c r="G179" s="267"/>
      <c r="H179" s="268"/>
    </row>
    <row r="180" spans="1:8" ht="15">
      <c r="A180" s="3" t="s">
        <v>183</v>
      </c>
      <c r="B180" s="26">
        <v>1</v>
      </c>
      <c r="C180" s="4">
        <v>750000</v>
      </c>
      <c r="D180" s="4">
        <f t="shared" si="5"/>
        <v>750000</v>
      </c>
      <c r="E180" s="267"/>
      <c r="F180" s="267"/>
      <c r="G180" s="267"/>
      <c r="H180" s="268"/>
    </row>
    <row r="181" spans="1:8" ht="15">
      <c r="A181" s="3" t="s">
        <v>184</v>
      </c>
      <c r="B181" s="26">
        <v>12</v>
      </c>
      <c r="C181" s="4">
        <v>70000</v>
      </c>
      <c r="D181" s="4">
        <f t="shared" si="5"/>
        <v>840000</v>
      </c>
      <c r="E181" s="267"/>
      <c r="F181" s="267"/>
      <c r="G181" s="267"/>
      <c r="H181" s="268"/>
    </row>
    <row r="182" spans="1:8" ht="15">
      <c r="A182" s="3" t="s">
        <v>523</v>
      </c>
      <c r="B182" s="26">
        <v>10</v>
      </c>
      <c r="C182" s="4">
        <v>35843</v>
      </c>
      <c r="D182" s="4">
        <f t="shared" si="5"/>
        <v>358430</v>
      </c>
      <c r="E182" s="267"/>
      <c r="F182" s="267"/>
      <c r="G182" s="267"/>
      <c r="H182" s="268"/>
    </row>
    <row r="183" spans="1:8" ht="15">
      <c r="A183" s="3" t="s">
        <v>185</v>
      </c>
      <c r="B183" s="26">
        <v>2</v>
      </c>
      <c r="C183" s="4">
        <v>120000</v>
      </c>
      <c r="D183" s="4">
        <f t="shared" si="5"/>
        <v>240000</v>
      </c>
      <c r="E183" s="267"/>
      <c r="F183" s="267"/>
      <c r="G183" s="267"/>
      <c r="H183" s="268"/>
    </row>
    <row r="184" spans="1:8" ht="15">
      <c r="A184" s="3" t="s">
        <v>186</v>
      </c>
      <c r="B184" s="26">
        <f>1+15</f>
        <v>16</v>
      </c>
      <c r="C184" s="4">
        <v>300</v>
      </c>
      <c r="D184" s="4">
        <f t="shared" si="5"/>
        <v>4800</v>
      </c>
      <c r="E184" s="267"/>
      <c r="F184" s="267"/>
      <c r="G184" s="267"/>
      <c r="H184" s="268"/>
    </row>
    <row r="185" spans="1:8" ht="15">
      <c r="A185" s="3" t="s">
        <v>524</v>
      </c>
      <c r="B185" s="26">
        <v>6</v>
      </c>
      <c r="C185" s="4">
        <v>2000</v>
      </c>
      <c r="D185" s="4">
        <f t="shared" si="5"/>
        <v>12000</v>
      </c>
      <c r="E185" s="267"/>
      <c r="F185" s="267"/>
      <c r="G185" s="267"/>
      <c r="H185" s="268"/>
    </row>
    <row r="186" spans="1:8" ht="15">
      <c r="A186" s="3" t="s">
        <v>187</v>
      </c>
      <c r="B186" s="26">
        <v>2</v>
      </c>
      <c r="C186" s="4">
        <v>12000</v>
      </c>
      <c r="D186" s="4">
        <f t="shared" si="5"/>
        <v>24000</v>
      </c>
      <c r="E186" s="267"/>
      <c r="F186" s="267"/>
      <c r="G186" s="267"/>
      <c r="H186" s="268"/>
    </row>
    <row r="187" spans="1:8" ht="15">
      <c r="A187" s="3" t="s">
        <v>188</v>
      </c>
      <c r="B187" s="26">
        <v>10</v>
      </c>
      <c r="C187" s="4">
        <v>40000</v>
      </c>
      <c r="D187" s="4">
        <f t="shared" si="5"/>
        <v>400000</v>
      </c>
      <c r="E187" s="267"/>
      <c r="F187" s="267"/>
      <c r="G187" s="267"/>
      <c r="H187" s="268"/>
    </row>
    <row r="188" spans="1:8" ht="15">
      <c r="A188" s="3" t="s">
        <v>525</v>
      </c>
      <c r="B188" s="26">
        <v>1</v>
      </c>
      <c r="C188" s="4">
        <f>87387.04*12</f>
        <v>1048644.48</v>
      </c>
      <c r="D188" s="4">
        <f t="shared" si="5"/>
        <v>1048644.48</v>
      </c>
      <c r="E188" s="267"/>
      <c r="F188" s="267"/>
      <c r="G188" s="267"/>
      <c r="H188" s="270"/>
    </row>
    <row r="189" spans="1:8" ht="15">
      <c r="A189" s="3" t="s">
        <v>189</v>
      </c>
      <c r="B189" s="26">
        <v>1</v>
      </c>
      <c r="C189" s="4">
        <v>20000</v>
      </c>
      <c r="D189" s="4">
        <f t="shared" si="5"/>
        <v>20000</v>
      </c>
      <c r="E189" s="267"/>
      <c r="F189" s="267"/>
      <c r="G189" s="267"/>
      <c r="H189" s="268" t="s">
        <v>526</v>
      </c>
    </row>
    <row r="190" spans="1:8" ht="15">
      <c r="A190" s="3" t="s">
        <v>527</v>
      </c>
      <c r="B190" s="26">
        <v>2</v>
      </c>
      <c r="C190" s="4">
        <v>25000</v>
      </c>
      <c r="D190" s="4">
        <f t="shared" si="5"/>
        <v>50000</v>
      </c>
      <c r="E190" s="267"/>
      <c r="F190" s="267"/>
      <c r="G190" s="267"/>
      <c r="H190" s="268" t="s">
        <v>528</v>
      </c>
    </row>
    <row r="191" spans="1:8" ht="15">
      <c r="A191" s="3" t="s">
        <v>529</v>
      </c>
      <c r="B191" s="26">
        <v>1</v>
      </c>
      <c r="C191" s="4">
        <v>20800</v>
      </c>
      <c r="D191" s="4">
        <f t="shared" si="5"/>
        <v>20800</v>
      </c>
      <c r="E191" s="267"/>
      <c r="F191" s="267"/>
      <c r="G191" s="267"/>
      <c r="H191" s="270" t="s">
        <v>526</v>
      </c>
    </row>
    <row r="192" spans="1:8" ht="15">
      <c r="A192" s="3" t="s">
        <v>190</v>
      </c>
      <c r="B192" s="26">
        <v>5</v>
      </c>
      <c r="C192" s="4">
        <v>8500</v>
      </c>
      <c r="D192" s="4">
        <f t="shared" si="5"/>
        <v>42500</v>
      </c>
      <c r="E192" s="267"/>
      <c r="F192" s="267"/>
      <c r="G192" s="267"/>
      <c r="H192" s="84" t="s">
        <v>191</v>
      </c>
    </row>
    <row r="193" spans="1:8" ht="15">
      <c r="A193" s="3" t="s">
        <v>192</v>
      </c>
      <c r="B193" s="26">
        <v>10</v>
      </c>
      <c r="C193" s="4">
        <v>1500</v>
      </c>
      <c r="D193" s="4">
        <f t="shared" si="5"/>
        <v>15000</v>
      </c>
      <c r="E193" s="267"/>
      <c r="F193" s="267"/>
      <c r="G193" s="267"/>
      <c r="H193" s="84" t="s">
        <v>191</v>
      </c>
    </row>
    <row r="194" spans="1:8" ht="15">
      <c r="A194" s="3" t="s">
        <v>530</v>
      </c>
      <c r="B194" s="26">
        <v>2</v>
      </c>
      <c r="C194" s="4">
        <v>9100</v>
      </c>
      <c r="D194" s="4">
        <f t="shared" si="5"/>
        <v>18200</v>
      </c>
      <c r="E194" s="267"/>
      <c r="F194" s="267"/>
      <c r="G194" s="267"/>
      <c r="H194" s="276" t="s">
        <v>526</v>
      </c>
    </row>
    <row r="195" spans="1:8" ht="30">
      <c r="A195" s="3" t="s">
        <v>986</v>
      </c>
      <c r="B195" s="26">
        <v>1</v>
      </c>
      <c r="C195" s="4">
        <f>4251698.64*1.1</f>
        <v>4676868.5039999997</v>
      </c>
      <c r="D195" s="4">
        <f t="shared" si="5"/>
        <v>4676868.5039999997</v>
      </c>
      <c r="E195" s="267"/>
      <c r="F195" s="267"/>
      <c r="G195" s="267"/>
      <c r="H195" s="270"/>
    </row>
    <row r="196" spans="1:8" s="1" customFormat="1" ht="15.6">
      <c r="A196" s="25" t="s">
        <v>193</v>
      </c>
      <c r="B196" s="26"/>
      <c r="C196" s="4"/>
      <c r="D196" s="174">
        <f>SUM(D197:D200)</f>
        <v>527400</v>
      </c>
      <c r="E196" s="26"/>
      <c r="F196" s="26"/>
      <c r="G196" s="26"/>
      <c r="H196" s="76"/>
    </row>
    <row r="197" spans="1:8" s="1" customFormat="1" ht="30">
      <c r="A197" s="3" t="s">
        <v>194</v>
      </c>
      <c r="B197" s="26">
        <f>2+4+1+1</f>
        <v>8</v>
      </c>
      <c r="C197" s="4">
        <v>60000</v>
      </c>
      <c r="D197" s="4">
        <f>+C197*B197</f>
        <v>480000</v>
      </c>
      <c r="E197" s="26"/>
      <c r="F197" s="26"/>
      <c r="G197" s="26"/>
      <c r="H197" s="83" t="s">
        <v>195</v>
      </c>
    </row>
    <row r="198" spans="1:8" s="1" customFormat="1" ht="15">
      <c r="A198" s="3" t="s">
        <v>196</v>
      </c>
      <c r="B198" s="26">
        <v>8</v>
      </c>
      <c r="C198" s="4">
        <v>3500</v>
      </c>
      <c r="D198" s="4">
        <f>+C198*B198</f>
        <v>28000</v>
      </c>
      <c r="E198" s="26"/>
      <c r="F198" s="26"/>
      <c r="G198" s="26"/>
      <c r="H198" s="76"/>
    </row>
    <row r="199" spans="1:8" s="1" customFormat="1" ht="15">
      <c r="A199" s="3" t="s">
        <v>197</v>
      </c>
      <c r="B199" s="26">
        <v>8</v>
      </c>
      <c r="C199" s="4">
        <v>2200</v>
      </c>
      <c r="D199" s="4">
        <f>+C199*B199</f>
        <v>17600</v>
      </c>
      <c r="E199" s="26"/>
      <c r="F199" s="26"/>
      <c r="G199" s="26"/>
      <c r="H199" s="76"/>
    </row>
    <row r="200" spans="1:8" s="1" customFormat="1" ht="15">
      <c r="A200" s="3" t="s">
        <v>198</v>
      </c>
      <c r="B200" s="26">
        <v>1</v>
      </c>
      <c r="C200" s="4">
        <v>1800</v>
      </c>
      <c r="D200" s="4">
        <f>+C200*B200</f>
        <v>1800</v>
      </c>
      <c r="E200" s="26"/>
      <c r="F200" s="26"/>
      <c r="G200" s="26"/>
      <c r="H200" s="76"/>
    </row>
    <row r="201" spans="1:8" ht="15.6">
      <c r="A201" s="25" t="s">
        <v>781</v>
      </c>
      <c r="B201" s="267"/>
      <c r="C201" s="267"/>
      <c r="D201" s="277">
        <f>SUM(D202:D202)</f>
        <v>1550000</v>
      </c>
      <c r="E201" s="267"/>
      <c r="F201" s="267"/>
      <c r="G201" s="267"/>
      <c r="H201" s="268"/>
    </row>
    <row r="202" spans="1:8" ht="15">
      <c r="A202" s="3" t="s">
        <v>987</v>
      </c>
      <c r="B202" s="26">
        <v>1</v>
      </c>
      <c r="C202" s="4">
        <f>+Tecnolgia!D20</f>
        <v>1550000</v>
      </c>
      <c r="D202" s="4">
        <f>+C202*B202</f>
        <v>1550000</v>
      </c>
      <c r="E202" s="267"/>
      <c r="F202" s="267"/>
      <c r="G202" s="267"/>
      <c r="H202" s="268" t="s">
        <v>549</v>
      </c>
    </row>
    <row r="203" spans="1:8" s="2" customFormat="1" ht="15.6">
      <c r="A203" s="25" t="s">
        <v>199</v>
      </c>
      <c r="B203" s="26"/>
      <c r="C203" s="4"/>
      <c r="D203" s="174">
        <f>SUM(D204:D222)</f>
        <v>1618296.7000000002</v>
      </c>
      <c r="E203" s="26"/>
      <c r="F203" s="26"/>
      <c r="G203" s="26"/>
      <c r="H203" s="76"/>
    </row>
    <row r="204" spans="1:8" s="2" customFormat="1" ht="15">
      <c r="A204" s="3" t="s">
        <v>200</v>
      </c>
      <c r="B204" s="26">
        <v>4</v>
      </c>
      <c r="C204" s="4">
        <v>13519.7</v>
      </c>
      <c r="D204" s="4">
        <f t="shared" ref="D204:D222" si="6">+C204*B204</f>
        <v>54078.8</v>
      </c>
      <c r="E204" s="3"/>
      <c r="F204" s="26"/>
      <c r="G204" s="26"/>
      <c r="H204" s="76"/>
    </row>
    <row r="205" spans="1:8" s="2" customFormat="1" ht="30">
      <c r="A205" s="3" t="s">
        <v>201</v>
      </c>
      <c r="B205" s="26">
        <v>4</v>
      </c>
      <c r="C205" s="4">
        <v>120424.81</v>
      </c>
      <c r="D205" s="4">
        <f t="shared" si="6"/>
        <v>481699.24</v>
      </c>
      <c r="E205" s="3"/>
      <c r="F205" s="26"/>
      <c r="G205" s="26"/>
      <c r="H205" s="76"/>
    </row>
    <row r="206" spans="1:8" s="2" customFormat="1" ht="15">
      <c r="A206" s="3" t="s">
        <v>202</v>
      </c>
      <c r="B206" s="26">
        <v>4</v>
      </c>
      <c r="C206" s="4">
        <v>80000</v>
      </c>
      <c r="D206" s="4">
        <f t="shared" si="6"/>
        <v>320000</v>
      </c>
      <c r="E206" s="3"/>
      <c r="F206" s="26"/>
      <c r="G206" s="26"/>
      <c r="H206" s="76"/>
    </row>
    <row r="207" spans="1:8" s="2" customFormat="1" ht="15">
      <c r="A207" s="3" t="s">
        <v>203</v>
      </c>
      <c r="B207" s="26">
        <v>4</v>
      </c>
      <c r="C207" s="4">
        <v>7000</v>
      </c>
      <c r="D207" s="4">
        <f t="shared" si="6"/>
        <v>28000</v>
      </c>
      <c r="E207" s="3"/>
      <c r="F207" s="26"/>
      <c r="G207" s="26"/>
      <c r="H207" s="76"/>
    </row>
    <row r="208" spans="1:8" s="2" customFormat="1" ht="15">
      <c r="A208" s="3" t="s">
        <v>204</v>
      </c>
      <c r="B208" s="26">
        <v>4</v>
      </c>
      <c r="C208" s="4">
        <v>10000</v>
      </c>
      <c r="D208" s="4">
        <f t="shared" si="6"/>
        <v>40000</v>
      </c>
      <c r="E208" s="3"/>
      <c r="F208" s="26"/>
      <c r="G208" s="26"/>
      <c r="H208" s="76"/>
    </row>
    <row r="209" spans="1:8" s="2" customFormat="1" ht="30">
      <c r="A209" s="3" t="s">
        <v>1000</v>
      </c>
      <c r="B209" s="26">
        <v>1</v>
      </c>
      <c r="C209" s="4">
        <v>60000</v>
      </c>
      <c r="D209" s="4">
        <f t="shared" ref="D209" si="7">+C209*B209</f>
        <v>60000</v>
      </c>
      <c r="E209" s="3"/>
      <c r="F209" s="26"/>
      <c r="G209" s="26"/>
      <c r="H209" s="76"/>
    </row>
    <row r="210" spans="1:8" s="2" customFormat="1" ht="15">
      <c r="A210" s="3" t="s">
        <v>205</v>
      </c>
      <c r="B210" s="26">
        <v>6</v>
      </c>
      <c r="C210" s="4">
        <v>3000</v>
      </c>
      <c r="D210" s="4">
        <f t="shared" si="6"/>
        <v>18000</v>
      </c>
      <c r="E210" s="3"/>
      <c r="F210" s="26"/>
      <c r="G210" s="26"/>
      <c r="H210" s="76"/>
    </row>
    <row r="211" spans="1:8" s="2" customFormat="1" ht="15">
      <c r="A211" s="3" t="s">
        <v>206</v>
      </c>
      <c r="B211" s="26">
        <v>4</v>
      </c>
      <c r="C211" s="4">
        <v>3910</v>
      </c>
      <c r="D211" s="4">
        <f t="shared" si="6"/>
        <v>15640</v>
      </c>
      <c r="E211" s="3"/>
      <c r="F211" s="26"/>
      <c r="G211" s="26"/>
      <c r="H211" s="76"/>
    </row>
    <row r="212" spans="1:8" s="2" customFormat="1" ht="15">
      <c r="A212" s="3" t="s">
        <v>207</v>
      </c>
      <c r="B212" s="26">
        <v>4</v>
      </c>
      <c r="C212" s="4">
        <v>1150</v>
      </c>
      <c r="D212" s="4">
        <f t="shared" si="6"/>
        <v>4600</v>
      </c>
      <c r="E212" s="3"/>
      <c r="F212" s="26"/>
      <c r="G212" s="26"/>
      <c r="H212" s="76"/>
    </row>
    <row r="213" spans="1:8" s="2" customFormat="1" ht="15">
      <c r="A213" s="3" t="s">
        <v>208</v>
      </c>
      <c r="B213" s="26">
        <v>4</v>
      </c>
      <c r="C213" s="4">
        <v>27300</v>
      </c>
      <c r="D213" s="4">
        <f t="shared" si="6"/>
        <v>109200</v>
      </c>
      <c r="E213" s="3"/>
      <c r="F213" s="26"/>
      <c r="G213" s="26"/>
      <c r="H213" s="76"/>
    </row>
    <row r="214" spans="1:8" s="2" customFormat="1" ht="30">
      <c r="A214" s="3" t="s">
        <v>209</v>
      </c>
      <c r="B214" s="26">
        <v>4</v>
      </c>
      <c r="C214" s="4">
        <v>2162</v>
      </c>
      <c r="D214" s="4">
        <f t="shared" si="6"/>
        <v>8648</v>
      </c>
      <c r="E214" s="3"/>
      <c r="F214" s="26"/>
      <c r="G214" s="26"/>
      <c r="H214" s="76"/>
    </row>
    <row r="215" spans="1:8" s="2" customFormat="1" ht="15">
      <c r="A215" s="3" t="s">
        <v>210</v>
      </c>
      <c r="B215" s="26">
        <v>4</v>
      </c>
      <c r="C215" s="4">
        <v>12000</v>
      </c>
      <c r="D215" s="4">
        <f t="shared" si="6"/>
        <v>48000</v>
      </c>
      <c r="E215" s="3"/>
      <c r="F215" s="26"/>
      <c r="G215" s="26"/>
      <c r="H215" s="76"/>
    </row>
    <row r="216" spans="1:8" s="2" customFormat="1" ht="15">
      <c r="A216" s="3" t="s">
        <v>211</v>
      </c>
      <c r="B216" s="26">
        <v>4</v>
      </c>
      <c r="C216" s="4">
        <v>11500</v>
      </c>
      <c r="D216" s="4">
        <f t="shared" si="6"/>
        <v>46000</v>
      </c>
      <c r="E216" s="3"/>
      <c r="F216" s="26"/>
      <c r="G216" s="26"/>
      <c r="H216" s="76"/>
    </row>
    <row r="217" spans="1:8" s="2" customFormat="1" ht="15">
      <c r="A217" s="3" t="s">
        <v>212</v>
      </c>
      <c r="B217" s="26">
        <v>2</v>
      </c>
      <c r="C217" s="4">
        <v>4370</v>
      </c>
      <c r="D217" s="4">
        <f t="shared" si="6"/>
        <v>8740</v>
      </c>
      <c r="E217" s="3"/>
      <c r="F217" s="26"/>
      <c r="G217" s="26"/>
      <c r="H217" s="76"/>
    </row>
    <row r="218" spans="1:8" s="2" customFormat="1" ht="15">
      <c r="A218" s="27" t="s">
        <v>213</v>
      </c>
      <c r="B218" s="31">
        <v>2</v>
      </c>
      <c r="C218" s="160">
        <v>2530</v>
      </c>
      <c r="D218" s="160">
        <f t="shared" si="6"/>
        <v>5060</v>
      </c>
      <c r="E218" s="27"/>
      <c r="F218" s="31"/>
      <c r="G218" s="31"/>
      <c r="H218" s="75"/>
    </row>
    <row r="219" spans="1:8" s="2" customFormat="1" ht="15">
      <c r="A219" s="27" t="s">
        <v>214</v>
      </c>
      <c r="B219" s="31">
        <v>4</v>
      </c>
      <c r="C219" s="160">
        <v>800</v>
      </c>
      <c r="D219" s="160">
        <f t="shared" si="6"/>
        <v>3200</v>
      </c>
      <c r="E219" s="27"/>
      <c r="F219" s="31"/>
      <c r="G219" s="31"/>
      <c r="H219" s="75"/>
    </row>
    <row r="220" spans="1:8" s="2" customFormat="1" ht="15">
      <c r="A220" s="27" t="s">
        <v>215</v>
      </c>
      <c r="B220" s="31">
        <v>2</v>
      </c>
      <c r="C220" s="160">
        <v>4000</v>
      </c>
      <c r="D220" s="160">
        <f t="shared" si="6"/>
        <v>8000</v>
      </c>
      <c r="E220" s="27"/>
      <c r="F220" s="31"/>
      <c r="G220" s="31"/>
      <c r="H220" s="75"/>
    </row>
    <row r="221" spans="1:8" s="2" customFormat="1" ht="15">
      <c r="A221" s="27" t="s">
        <v>216</v>
      </c>
      <c r="B221" s="31">
        <v>2</v>
      </c>
      <c r="C221" s="160">
        <v>5850</v>
      </c>
      <c r="D221" s="160">
        <f t="shared" si="6"/>
        <v>11700</v>
      </c>
      <c r="E221" s="27"/>
      <c r="F221" s="31"/>
      <c r="G221" s="31"/>
      <c r="H221" s="75"/>
    </row>
    <row r="222" spans="1:8" s="2" customFormat="1" ht="15">
      <c r="A222" s="27" t="s">
        <v>555</v>
      </c>
      <c r="B222" s="31">
        <v>3</v>
      </c>
      <c r="C222" s="160">
        <v>115910.22</v>
      </c>
      <c r="D222" s="160">
        <f t="shared" si="6"/>
        <v>347730.66000000003</v>
      </c>
      <c r="E222" s="27"/>
      <c r="F222" s="31"/>
      <c r="G222" s="31"/>
      <c r="H222" s="75"/>
    </row>
    <row r="223" spans="1:8" ht="31.2">
      <c r="A223" s="195" t="s">
        <v>4</v>
      </c>
      <c r="B223" s="195"/>
      <c r="C223" s="195"/>
      <c r="D223" s="198">
        <f>+D224+D259+D260+D261+D266+D281+D375</f>
        <v>2459978618.4000001</v>
      </c>
      <c r="E223" s="197" t="s">
        <v>617</v>
      </c>
      <c r="F223" s="195"/>
      <c r="G223" s="197" t="s">
        <v>832</v>
      </c>
      <c r="H223" s="61"/>
    </row>
    <row r="224" spans="1:8" s="1" customFormat="1" ht="30">
      <c r="A224" s="25" t="s">
        <v>217</v>
      </c>
      <c r="B224" s="159"/>
      <c r="C224" s="4"/>
      <c r="D224" s="174">
        <f>SUM(D225:D256)</f>
        <v>785600360</v>
      </c>
      <c r="E224" s="26"/>
      <c r="F224" s="26"/>
      <c r="G224" s="26"/>
      <c r="H224" s="112" t="s">
        <v>556</v>
      </c>
    </row>
    <row r="225" spans="1:8" s="1" customFormat="1" ht="22.5" customHeight="1">
      <c r="A225" s="27" t="s">
        <v>110</v>
      </c>
      <c r="B225" s="180">
        <f>1*4500</f>
        <v>4500</v>
      </c>
      <c r="C225" s="4">
        <v>3445</v>
      </c>
      <c r="D225" s="181">
        <f t="shared" ref="D225:D255" si="8">+B225*C225</f>
        <v>15502500</v>
      </c>
      <c r="E225" s="26"/>
      <c r="F225" s="26"/>
      <c r="G225" s="26"/>
      <c r="H225" s="81" t="s">
        <v>218</v>
      </c>
    </row>
    <row r="226" spans="1:8" s="1" customFormat="1" ht="22.5" customHeight="1">
      <c r="A226" s="27" t="s">
        <v>219</v>
      </c>
      <c r="B226" s="180">
        <f>3*4500</f>
        <v>13500</v>
      </c>
      <c r="C226" s="160">
        <v>2950</v>
      </c>
      <c r="D226" s="160">
        <f t="shared" si="8"/>
        <v>39825000</v>
      </c>
      <c r="E226" s="26"/>
      <c r="F226" s="26"/>
      <c r="G226" s="26"/>
      <c r="H226" s="81" t="s">
        <v>220</v>
      </c>
    </row>
    <row r="227" spans="1:8" s="1" customFormat="1" ht="22.5" customHeight="1">
      <c r="A227" s="27" t="s">
        <v>977</v>
      </c>
      <c r="B227" s="180">
        <f>2*4500</f>
        <v>9000</v>
      </c>
      <c r="C227" s="160">
        <v>3900</v>
      </c>
      <c r="D227" s="160">
        <f t="shared" ref="D227" si="9">+B227*C227</f>
        <v>35100000</v>
      </c>
      <c r="E227" s="26"/>
      <c r="F227" s="26"/>
      <c r="G227" s="26"/>
      <c r="H227" s="81" t="s">
        <v>220</v>
      </c>
    </row>
    <row r="228" spans="1:8" s="1" customFormat="1" ht="22.5" customHeight="1">
      <c r="A228" s="27" t="s">
        <v>1004</v>
      </c>
      <c r="B228" s="167">
        <f>410*2</f>
        <v>820</v>
      </c>
      <c r="C228" s="160">
        <v>3495</v>
      </c>
      <c r="D228" s="160">
        <f>+B228*C228</f>
        <v>2865900</v>
      </c>
      <c r="E228" s="26"/>
      <c r="F228" s="26"/>
      <c r="G228" s="26"/>
      <c r="H228" s="81" t="s">
        <v>234</v>
      </c>
    </row>
    <row r="229" spans="1:8" s="1" customFormat="1" ht="22.5" customHeight="1">
      <c r="A229" s="27" t="s">
        <v>221</v>
      </c>
      <c r="B229" s="180">
        <f>1*4500</f>
        <v>4500</v>
      </c>
      <c r="C229" s="160">
        <v>880</v>
      </c>
      <c r="D229" s="160">
        <f t="shared" si="8"/>
        <v>3960000</v>
      </c>
      <c r="E229" s="26"/>
      <c r="F229" s="26"/>
      <c r="G229" s="26"/>
      <c r="H229" s="81" t="s">
        <v>222</v>
      </c>
    </row>
    <row r="230" spans="1:8" s="1" customFormat="1" ht="22.5" customHeight="1">
      <c r="A230" s="27" t="s">
        <v>773</v>
      </c>
      <c r="B230" s="180">
        <f>2*4500</f>
        <v>9000</v>
      </c>
      <c r="C230" s="160">
        <v>150</v>
      </c>
      <c r="D230" s="160">
        <f t="shared" si="8"/>
        <v>1350000</v>
      </c>
      <c r="E230" s="26"/>
      <c r="F230" s="26"/>
      <c r="G230" s="26"/>
      <c r="H230" s="81" t="s">
        <v>223</v>
      </c>
    </row>
    <row r="231" spans="1:8" s="2" customFormat="1" ht="22.5" customHeight="1">
      <c r="A231" s="27" t="s">
        <v>984</v>
      </c>
      <c r="B231" s="180">
        <f>4500*2</f>
        <v>9000</v>
      </c>
      <c r="C231" s="160">
        <v>800</v>
      </c>
      <c r="D231" s="160">
        <f t="shared" si="8"/>
        <v>7200000</v>
      </c>
      <c r="E231" s="26"/>
      <c r="F231" s="26"/>
      <c r="G231" s="26"/>
      <c r="H231" s="81" t="s">
        <v>224</v>
      </c>
    </row>
    <row r="232" spans="1:8" s="2" customFormat="1" ht="22.5" customHeight="1">
      <c r="A232" s="27" t="s">
        <v>985</v>
      </c>
      <c r="B232" s="168">
        <f>4500*10</f>
        <v>45000</v>
      </c>
      <c r="C232" s="160">
        <v>640</v>
      </c>
      <c r="D232" s="160">
        <f t="shared" si="8"/>
        <v>28800000</v>
      </c>
      <c r="E232" s="26"/>
      <c r="F232" s="26"/>
      <c r="G232" s="26"/>
      <c r="H232" s="81" t="s">
        <v>225</v>
      </c>
    </row>
    <row r="233" spans="1:8" s="2" customFormat="1" ht="22.5" customHeight="1">
      <c r="A233" s="27" t="s">
        <v>978</v>
      </c>
      <c r="B233" s="168">
        <v>4500</v>
      </c>
      <c r="C233" s="160">
        <v>150</v>
      </c>
      <c r="D233" s="160">
        <f t="shared" si="8"/>
        <v>675000</v>
      </c>
      <c r="E233" s="26"/>
      <c r="F233" s="26"/>
      <c r="G233" s="26"/>
      <c r="H233" s="81" t="s">
        <v>226</v>
      </c>
    </row>
    <row r="234" spans="1:8" s="1" customFormat="1" ht="22.5" customHeight="1">
      <c r="A234" s="27" t="s">
        <v>227</v>
      </c>
      <c r="B234" s="168">
        <f>4500*10</f>
        <v>45000</v>
      </c>
      <c r="C234" s="160">
        <v>180</v>
      </c>
      <c r="D234" s="160">
        <f t="shared" si="8"/>
        <v>8100000</v>
      </c>
      <c r="E234" s="26"/>
      <c r="F234" s="26"/>
      <c r="G234" s="26"/>
      <c r="H234" s="81" t="s">
        <v>228</v>
      </c>
    </row>
    <row r="235" spans="1:8" s="1" customFormat="1" ht="22.5" customHeight="1">
      <c r="A235" s="27" t="s">
        <v>502</v>
      </c>
      <c r="B235" s="168">
        <f>4500*2</f>
        <v>9000</v>
      </c>
      <c r="C235" s="4">
        <v>764.64</v>
      </c>
      <c r="D235" s="160">
        <f t="shared" si="8"/>
        <v>6881760</v>
      </c>
      <c r="E235" s="26"/>
      <c r="F235" s="26"/>
      <c r="G235" s="26"/>
      <c r="H235" s="81" t="s">
        <v>229</v>
      </c>
    </row>
    <row r="236" spans="1:8" s="1" customFormat="1" ht="45">
      <c r="A236" s="27" t="s">
        <v>230</v>
      </c>
      <c r="B236" s="167">
        <f>410*2</f>
        <v>820</v>
      </c>
      <c r="C236" s="160">
        <v>3500</v>
      </c>
      <c r="D236" s="160">
        <f t="shared" si="8"/>
        <v>2870000</v>
      </c>
      <c r="E236" s="31"/>
      <c r="F236" s="31"/>
      <c r="G236" s="31"/>
      <c r="H236" s="123" t="s">
        <v>231</v>
      </c>
    </row>
    <row r="237" spans="1:8" s="1" customFormat="1" ht="22.5" customHeight="1">
      <c r="A237" s="27" t="s">
        <v>232</v>
      </c>
      <c r="B237" s="168">
        <f>4500*10</f>
        <v>45000</v>
      </c>
      <c r="C237" s="160">
        <v>650</v>
      </c>
      <c r="D237" s="160">
        <f t="shared" si="8"/>
        <v>29250000</v>
      </c>
      <c r="E237" s="26"/>
      <c r="F237" s="26"/>
      <c r="G237" s="26"/>
      <c r="H237" s="81" t="s">
        <v>233</v>
      </c>
    </row>
    <row r="238" spans="1:8" s="1" customFormat="1" ht="22.5" customHeight="1">
      <c r="A238" s="27" t="s">
        <v>979</v>
      </c>
      <c r="B238" s="168">
        <f>4500*2</f>
        <v>9000</v>
      </c>
      <c r="C238" s="160">
        <v>2250</v>
      </c>
      <c r="D238" s="160">
        <f t="shared" si="8"/>
        <v>20250000</v>
      </c>
      <c r="E238" s="26"/>
      <c r="F238" s="26"/>
      <c r="G238" s="26"/>
      <c r="H238" s="81" t="s">
        <v>235</v>
      </c>
    </row>
    <row r="239" spans="1:8" s="1" customFormat="1" ht="22.5" customHeight="1">
      <c r="A239" s="27" t="s">
        <v>236</v>
      </c>
      <c r="B239" s="168">
        <f>4500*10</f>
        <v>45000</v>
      </c>
      <c r="C239" s="160">
        <v>200</v>
      </c>
      <c r="D239" s="160">
        <f t="shared" si="8"/>
        <v>9000000</v>
      </c>
      <c r="E239" s="26"/>
      <c r="F239" s="26"/>
      <c r="G239" s="26"/>
      <c r="H239" s="81" t="s">
        <v>237</v>
      </c>
    </row>
    <row r="240" spans="1:8" s="1" customFormat="1" ht="22.5" customHeight="1">
      <c r="A240" s="27" t="s">
        <v>774</v>
      </c>
      <c r="B240" s="168">
        <f>4500*10</f>
        <v>45000</v>
      </c>
      <c r="C240" s="160">
        <v>250</v>
      </c>
      <c r="D240" s="160">
        <f t="shared" si="8"/>
        <v>11250000</v>
      </c>
      <c r="E240" s="26"/>
      <c r="F240" s="26"/>
      <c r="G240" s="26"/>
      <c r="H240" s="81" t="s">
        <v>238</v>
      </c>
    </row>
    <row r="241" spans="1:8" s="1" customFormat="1" ht="22.5" customHeight="1">
      <c r="A241" s="27" t="s">
        <v>778</v>
      </c>
      <c r="B241" s="168">
        <f>4500*1</f>
        <v>4500</v>
      </c>
      <c r="C241" s="160">
        <v>2800</v>
      </c>
      <c r="D241" s="160">
        <f t="shared" si="8"/>
        <v>12600000</v>
      </c>
      <c r="E241" s="26"/>
      <c r="F241" s="26"/>
      <c r="G241" s="26"/>
      <c r="H241" s="81" t="s">
        <v>239</v>
      </c>
    </row>
    <row r="242" spans="1:8" s="1" customFormat="1" ht="22.5" customHeight="1">
      <c r="A242" s="27" t="s">
        <v>240</v>
      </c>
      <c r="B242" s="168">
        <f>4500*2</f>
        <v>9000</v>
      </c>
      <c r="C242" s="160">
        <v>250</v>
      </c>
      <c r="D242" s="160">
        <f t="shared" si="8"/>
        <v>2250000</v>
      </c>
      <c r="E242" s="26"/>
      <c r="F242" s="26"/>
      <c r="G242" s="26"/>
      <c r="H242" s="81" t="s">
        <v>239</v>
      </c>
    </row>
    <row r="243" spans="1:8" s="1" customFormat="1" ht="22.5" customHeight="1">
      <c r="A243" s="27" t="s">
        <v>980</v>
      </c>
      <c r="B243" s="168">
        <v>4500</v>
      </c>
      <c r="C243" s="160">
        <v>550</v>
      </c>
      <c r="D243" s="160">
        <f t="shared" si="8"/>
        <v>2475000</v>
      </c>
      <c r="E243" s="26"/>
      <c r="F243" s="26"/>
      <c r="G243" s="26"/>
      <c r="H243" s="81" t="s">
        <v>241</v>
      </c>
    </row>
    <row r="244" spans="1:8" s="1" customFormat="1" ht="22.5" customHeight="1">
      <c r="A244" s="27" t="s">
        <v>981</v>
      </c>
      <c r="B244" s="168">
        <f>4500*2</f>
        <v>9000</v>
      </c>
      <c r="C244" s="160">
        <v>395</v>
      </c>
      <c r="D244" s="160">
        <f t="shared" si="8"/>
        <v>3555000</v>
      </c>
      <c r="E244" s="26"/>
      <c r="F244" s="26"/>
      <c r="G244" s="26"/>
      <c r="H244" s="81" t="s">
        <v>242</v>
      </c>
    </row>
    <row r="245" spans="1:8" s="1" customFormat="1" ht="22.5" customHeight="1">
      <c r="A245" s="27" t="s">
        <v>243</v>
      </c>
      <c r="B245" s="168">
        <f>4500*2</f>
        <v>9000</v>
      </c>
      <c r="C245" s="160">
        <v>880</v>
      </c>
      <c r="D245" s="160">
        <f t="shared" si="8"/>
        <v>7920000</v>
      </c>
      <c r="E245" s="26"/>
      <c r="F245" s="26"/>
      <c r="G245" s="26"/>
      <c r="H245" s="81" t="s">
        <v>239</v>
      </c>
    </row>
    <row r="246" spans="1:8" s="1" customFormat="1" ht="22.5" customHeight="1">
      <c r="A246" s="27" t="s">
        <v>982</v>
      </c>
      <c r="B246" s="168">
        <f>4500*12</f>
        <v>54000</v>
      </c>
      <c r="C246" s="160">
        <v>1200</v>
      </c>
      <c r="D246" s="160">
        <f t="shared" si="8"/>
        <v>64800000</v>
      </c>
      <c r="E246" s="26"/>
      <c r="F246" s="26"/>
      <c r="G246" s="26"/>
      <c r="H246" s="81" t="s">
        <v>244</v>
      </c>
    </row>
    <row r="247" spans="1:8" s="1" customFormat="1" ht="22.5" customHeight="1">
      <c r="A247" s="27" t="s">
        <v>983</v>
      </c>
      <c r="B247" s="168">
        <v>4500</v>
      </c>
      <c r="C247" s="160">
        <v>2000</v>
      </c>
      <c r="D247" s="160">
        <f t="shared" si="8"/>
        <v>9000000</v>
      </c>
      <c r="E247" s="26"/>
      <c r="F247" s="26"/>
      <c r="G247" s="26"/>
      <c r="H247" s="81" t="s">
        <v>245</v>
      </c>
    </row>
    <row r="248" spans="1:8" s="1" customFormat="1" ht="22.5" customHeight="1">
      <c r="A248" s="27" t="s">
        <v>775</v>
      </c>
      <c r="B248" s="168">
        <f>4500*2</f>
        <v>9000</v>
      </c>
      <c r="C248" s="160">
        <v>500</v>
      </c>
      <c r="D248" s="160">
        <f t="shared" si="8"/>
        <v>4500000</v>
      </c>
      <c r="E248" s="26"/>
      <c r="F248" s="26"/>
      <c r="G248" s="26"/>
      <c r="H248" s="81" t="s">
        <v>239</v>
      </c>
    </row>
    <row r="249" spans="1:8" s="2" customFormat="1" ht="22.5" customHeight="1">
      <c r="A249" s="27" t="s">
        <v>246</v>
      </c>
      <c r="B249" s="168">
        <v>4500</v>
      </c>
      <c r="C249" s="160">
        <v>60000</v>
      </c>
      <c r="D249" s="160">
        <f t="shared" si="8"/>
        <v>270000000</v>
      </c>
      <c r="E249" s="26"/>
      <c r="F249" s="26"/>
      <c r="G249" s="26"/>
      <c r="H249" s="78"/>
    </row>
    <row r="250" spans="1:8" s="1" customFormat="1" ht="35.25" customHeight="1">
      <c r="A250" s="27" t="s">
        <v>247</v>
      </c>
      <c r="B250" s="168">
        <f>4500</f>
        <v>4500</v>
      </c>
      <c r="C250" s="160">
        <v>2947</v>
      </c>
      <c r="D250" s="160">
        <f t="shared" si="8"/>
        <v>13261500</v>
      </c>
      <c r="E250" s="26"/>
      <c r="F250" s="26"/>
      <c r="G250" s="26"/>
      <c r="H250" s="81" t="s">
        <v>557</v>
      </c>
    </row>
    <row r="251" spans="1:8" s="1" customFormat="1" ht="22.5" customHeight="1">
      <c r="A251" s="27" t="s">
        <v>248</v>
      </c>
      <c r="B251" s="168">
        <v>4500</v>
      </c>
      <c r="C251" s="160">
        <v>350</v>
      </c>
      <c r="D251" s="160">
        <f t="shared" si="8"/>
        <v>1575000</v>
      </c>
      <c r="E251" s="26"/>
      <c r="F251" s="26"/>
      <c r="G251" s="26"/>
      <c r="H251" s="81" t="s">
        <v>245</v>
      </c>
    </row>
    <row r="252" spans="1:8" s="1" customFormat="1" ht="22.5" customHeight="1">
      <c r="A252" s="27" t="s">
        <v>776</v>
      </c>
      <c r="B252" s="168">
        <v>4500</v>
      </c>
      <c r="C252" s="160">
        <v>1650</v>
      </c>
      <c r="D252" s="160">
        <f t="shared" si="8"/>
        <v>7425000</v>
      </c>
      <c r="E252" s="26"/>
      <c r="F252" s="26"/>
      <c r="G252" s="26"/>
      <c r="H252" s="81" t="s">
        <v>245</v>
      </c>
    </row>
    <row r="253" spans="1:8" s="1" customFormat="1" ht="22.5" customHeight="1">
      <c r="A253" s="27" t="s">
        <v>249</v>
      </c>
      <c r="B253" s="168">
        <v>4500</v>
      </c>
      <c r="C253" s="160">
        <v>250</v>
      </c>
      <c r="D253" s="160">
        <f t="shared" si="8"/>
        <v>1125000</v>
      </c>
      <c r="E253" s="184"/>
      <c r="F253" s="26"/>
      <c r="G253" s="26"/>
      <c r="H253" s="81" t="s">
        <v>245</v>
      </c>
    </row>
    <row r="254" spans="1:8" s="1" customFormat="1" ht="22.5" customHeight="1">
      <c r="A254" s="27" t="s">
        <v>777</v>
      </c>
      <c r="B254" s="168">
        <v>100</v>
      </c>
      <c r="C254" s="160"/>
      <c r="D254" s="160"/>
      <c r="E254" s="184"/>
      <c r="F254" s="26"/>
      <c r="G254" s="26"/>
      <c r="H254" s="81"/>
    </row>
    <row r="255" spans="1:8" s="1" customFormat="1" ht="22.5" customHeight="1">
      <c r="A255" s="27" t="s">
        <v>250</v>
      </c>
      <c r="B255" s="168">
        <v>100</v>
      </c>
      <c r="C255" s="160">
        <v>2337</v>
      </c>
      <c r="D255" s="160">
        <f t="shared" si="8"/>
        <v>233700</v>
      </c>
      <c r="E255" s="26"/>
      <c r="F255" s="26"/>
      <c r="G255" s="26"/>
      <c r="H255" s="81" t="s">
        <v>239</v>
      </c>
    </row>
    <row r="256" spans="1:8" s="1" customFormat="1" ht="22.5" customHeight="1">
      <c r="A256" s="27" t="s">
        <v>43</v>
      </c>
      <c r="B256" s="168">
        <f>4500</f>
        <v>4500</v>
      </c>
      <c r="C256" s="160">
        <v>36000</v>
      </c>
      <c r="D256" s="160">
        <f>+B256*C256</f>
        <v>162000000</v>
      </c>
      <c r="E256" s="26"/>
      <c r="F256" s="26"/>
      <c r="G256" s="26"/>
      <c r="H256" s="78" t="s">
        <v>251</v>
      </c>
    </row>
    <row r="257" spans="1:8" s="1" customFormat="1" ht="22.5" customHeight="1">
      <c r="A257" s="3" t="s">
        <v>779</v>
      </c>
      <c r="B257" s="168">
        <f>410*2</f>
        <v>820</v>
      </c>
      <c r="C257" s="160">
        <f>30*55</f>
        <v>1650</v>
      </c>
      <c r="D257" s="160">
        <f>+B257*C257</f>
        <v>1353000</v>
      </c>
      <c r="E257" s="26"/>
      <c r="F257" s="26"/>
      <c r="G257" s="26"/>
      <c r="H257" s="78"/>
    </row>
    <row r="258" spans="1:8" s="1" customFormat="1" ht="22.5" customHeight="1">
      <c r="A258" s="3" t="s">
        <v>780</v>
      </c>
      <c r="B258" s="167">
        <f>4500</f>
        <v>4500</v>
      </c>
      <c r="C258" s="4">
        <v>1000</v>
      </c>
      <c r="D258" s="4">
        <f>+B258*C258</f>
        <v>4500000</v>
      </c>
      <c r="E258" s="26"/>
      <c r="F258" s="26"/>
      <c r="G258" s="26"/>
      <c r="H258" s="78"/>
    </row>
    <row r="259" spans="1:8" s="1" customFormat="1" ht="22.5" customHeight="1">
      <c r="A259" s="25" t="s">
        <v>973</v>
      </c>
      <c r="B259" s="178"/>
      <c r="C259" s="179"/>
      <c r="D259" s="179">
        <f>+Telecomunicaciones!D33</f>
        <v>145416534</v>
      </c>
      <c r="E259" s="182"/>
      <c r="F259" s="182"/>
      <c r="G259" s="182"/>
      <c r="H259" s="80"/>
    </row>
    <row r="260" spans="1:8" s="1" customFormat="1" ht="22.5" customHeight="1">
      <c r="A260" s="25" t="s">
        <v>1355</v>
      </c>
      <c r="B260" s="168"/>
      <c r="C260" s="161"/>
      <c r="D260" s="155">
        <f>+Transportacion!D15+'Mant. VEHICULOS'!J324</f>
        <v>1358214739.96</v>
      </c>
      <c r="E260" s="26"/>
      <c r="F260" s="26"/>
      <c r="G260" s="26"/>
      <c r="H260" s="78"/>
    </row>
    <row r="261" spans="1:8" s="1" customFormat="1" ht="20.25" customHeight="1">
      <c r="A261" s="182" t="s">
        <v>365</v>
      </c>
      <c r="B261" s="168"/>
      <c r="C261" s="160"/>
      <c r="D261" s="155">
        <f>SUM(D262:D265)</f>
        <v>1611000</v>
      </c>
      <c r="E261" s="26"/>
      <c r="F261" s="26"/>
      <c r="G261" s="26"/>
      <c r="H261" s="78"/>
    </row>
    <row r="262" spans="1:8" s="1" customFormat="1" ht="20.25" customHeight="1">
      <c r="A262" s="27" t="s">
        <v>366</v>
      </c>
      <c r="B262" s="168">
        <v>75</v>
      </c>
      <c r="C262" s="160">
        <v>19000</v>
      </c>
      <c r="D262" s="161">
        <f>+C262*B262</f>
        <v>1425000</v>
      </c>
      <c r="E262" s="26"/>
      <c r="F262" s="26"/>
      <c r="G262" s="26"/>
      <c r="H262" s="78"/>
    </row>
    <row r="263" spans="1:8" s="1" customFormat="1" ht="20.25" customHeight="1">
      <c r="A263" s="27" t="s">
        <v>367</v>
      </c>
      <c r="B263" s="168">
        <v>10</v>
      </c>
      <c r="C263" s="160">
        <v>8500</v>
      </c>
      <c r="D263" s="161">
        <f>+C263*B263</f>
        <v>85000</v>
      </c>
      <c r="E263" s="26"/>
      <c r="F263" s="26"/>
      <c r="G263" s="26"/>
      <c r="H263" s="78"/>
    </row>
    <row r="264" spans="1:8" s="1" customFormat="1" ht="20.25" customHeight="1">
      <c r="A264" s="27" t="s">
        <v>368</v>
      </c>
      <c r="B264" s="168">
        <v>10</v>
      </c>
      <c r="C264" s="160">
        <v>5100</v>
      </c>
      <c r="D264" s="161">
        <f>+C264*B264</f>
        <v>51000</v>
      </c>
      <c r="E264" s="26"/>
      <c r="F264" s="26"/>
      <c r="G264" s="26"/>
      <c r="H264" s="78"/>
    </row>
    <row r="265" spans="1:8" s="1" customFormat="1" ht="20.25" customHeight="1">
      <c r="A265" s="27" t="s">
        <v>369</v>
      </c>
      <c r="B265" s="168">
        <v>10</v>
      </c>
      <c r="C265" s="160">
        <v>5000</v>
      </c>
      <c r="D265" s="161">
        <f>+C265*B265</f>
        <v>50000</v>
      </c>
      <c r="E265" s="26"/>
      <c r="F265" s="26"/>
      <c r="G265" s="26"/>
      <c r="H265" s="78"/>
    </row>
    <row r="266" spans="1:8" s="1" customFormat="1" ht="20.25" customHeight="1">
      <c r="A266" s="182" t="s">
        <v>370</v>
      </c>
      <c r="B266" s="168"/>
      <c r="C266" s="160"/>
      <c r="D266" s="155">
        <f>SUM(D267:D276)</f>
        <v>18513500</v>
      </c>
      <c r="E266" s="26"/>
      <c r="F266" s="26"/>
      <c r="G266" s="26"/>
      <c r="H266" s="78"/>
    </row>
    <row r="267" spans="1:8" s="1" customFormat="1" ht="20.25" customHeight="1">
      <c r="A267" s="27" t="s">
        <v>371</v>
      </c>
      <c r="B267" s="168">
        <v>240</v>
      </c>
      <c r="C267" s="160">
        <v>12000</v>
      </c>
      <c r="D267" s="161">
        <f>+B267*C267</f>
        <v>2880000</v>
      </c>
      <c r="E267" s="26"/>
      <c r="F267" s="26"/>
      <c r="G267" s="26"/>
      <c r="H267" s="78"/>
    </row>
    <row r="268" spans="1:8" s="1" customFormat="1" ht="20.25" customHeight="1">
      <c r="A268" s="27" t="s">
        <v>372</v>
      </c>
      <c r="B268" s="168">
        <v>240</v>
      </c>
      <c r="C268" s="160">
        <v>9000</v>
      </c>
      <c r="D268" s="161">
        <f t="shared" ref="D268:D280" si="10">+B268*C268</f>
        <v>2160000</v>
      </c>
      <c r="E268" s="26"/>
      <c r="F268" s="26"/>
      <c r="G268" s="26"/>
      <c r="H268" s="78"/>
    </row>
    <row r="269" spans="1:8" s="1" customFormat="1" ht="20.25" customHeight="1">
      <c r="A269" s="27" t="s">
        <v>373</v>
      </c>
      <c r="B269" s="168">
        <v>400</v>
      </c>
      <c r="C269" s="160">
        <v>3500</v>
      </c>
      <c r="D269" s="161">
        <f t="shared" si="10"/>
        <v>1400000</v>
      </c>
      <c r="E269" s="26"/>
      <c r="F269" s="26"/>
      <c r="G269" s="26"/>
      <c r="H269" s="78"/>
    </row>
    <row r="270" spans="1:8" s="1" customFormat="1" ht="20.25" customHeight="1">
      <c r="A270" s="27" t="s">
        <v>374</v>
      </c>
      <c r="B270" s="168">
        <v>135</v>
      </c>
      <c r="C270" s="160">
        <v>12000</v>
      </c>
      <c r="D270" s="161">
        <f t="shared" si="10"/>
        <v>1620000</v>
      </c>
      <c r="E270" s="26"/>
      <c r="F270" s="26"/>
      <c r="G270" s="26"/>
      <c r="H270" s="78"/>
    </row>
    <row r="271" spans="1:8" s="1" customFormat="1" ht="20.25" customHeight="1">
      <c r="A271" s="27" t="s">
        <v>375</v>
      </c>
      <c r="B271" s="168">
        <v>135</v>
      </c>
      <c r="C271" s="160">
        <v>8500</v>
      </c>
      <c r="D271" s="161">
        <f t="shared" si="10"/>
        <v>1147500</v>
      </c>
      <c r="E271" s="26"/>
      <c r="F271" s="26"/>
      <c r="G271" s="26"/>
      <c r="H271" s="78"/>
    </row>
    <row r="272" spans="1:8" s="1" customFormat="1" ht="20.25" customHeight="1">
      <c r="A272" s="27" t="s">
        <v>376</v>
      </c>
      <c r="B272" s="168">
        <v>110</v>
      </c>
      <c r="C272" s="160">
        <v>4200</v>
      </c>
      <c r="D272" s="161">
        <f t="shared" si="10"/>
        <v>462000</v>
      </c>
      <c r="E272" s="26"/>
      <c r="F272" s="26"/>
      <c r="G272" s="26"/>
      <c r="H272" s="78"/>
    </row>
    <row r="273" spans="1:8" s="1" customFormat="1" ht="20.25" customHeight="1">
      <c r="A273" s="27" t="s">
        <v>377</v>
      </c>
      <c r="B273" s="168">
        <v>140</v>
      </c>
      <c r="C273" s="160">
        <v>21000</v>
      </c>
      <c r="D273" s="161">
        <f t="shared" si="10"/>
        <v>2940000</v>
      </c>
      <c r="E273" s="26"/>
      <c r="F273" s="26"/>
      <c r="G273" s="26"/>
      <c r="H273" s="78"/>
    </row>
    <row r="274" spans="1:8" s="1" customFormat="1" ht="20.25" customHeight="1">
      <c r="A274" s="27" t="s">
        <v>378</v>
      </c>
      <c r="B274" s="168">
        <v>80</v>
      </c>
      <c r="C274" s="160">
        <v>6300</v>
      </c>
      <c r="D274" s="161">
        <f t="shared" si="10"/>
        <v>504000</v>
      </c>
      <c r="E274" s="26"/>
      <c r="F274" s="26"/>
      <c r="G274" s="26"/>
      <c r="H274" s="78"/>
    </row>
    <row r="275" spans="1:8" s="1" customFormat="1" ht="20.25" customHeight="1">
      <c r="A275" s="27" t="s">
        <v>379</v>
      </c>
      <c r="B275" s="168">
        <v>100</v>
      </c>
      <c r="C275" s="160">
        <v>34000</v>
      </c>
      <c r="D275" s="161">
        <f t="shared" si="10"/>
        <v>3400000</v>
      </c>
      <c r="E275" s="26"/>
      <c r="F275" s="26"/>
      <c r="G275" s="26"/>
      <c r="H275" s="78"/>
    </row>
    <row r="276" spans="1:8" s="1" customFormat="1" ht="20.25" customHeight="1">
      <c r="A276" s="3" t="s">
        <v>380</v>
      </c>
      <c r="B276" s="167">
        <v>1</v>
      </c>
      <c r="C276" s="4">
        <v>2000000</v>
      </c>
      <c r="D276" s="161">
        <f t="shared" si="10"/>
        <v>2000000</v>
      </c>
      <c r="E276" s="26"/>
      <c r="F276" s="26"/>
      <c r="G276" s="26"/>
      <c r="H276" s="78"/>
    </row>
    <row r="277" spans="1:8" s="1" customFormat="1" ht="20.25" customHeight="1">
      <c r="A277" s="3" t="s">
        <v>317</v>
      </c>
      <c r="B277" s="167">
        <v>25</v>
      </c>
      <c r="C277" s="4">
        <v>120000</v>
      </c>
      <c r="D277" s="161">
        <f t="shared" si="10"/>
        <v>3000000</v>
      </c>
      <c r="E277" s="26"/>
      <c r="F277" s="26"/>
      <c r="G277" s="26"/>
      <c r="H277" s="78"/>
    </row>
    <row r="278" spans="1:8" s="1" customFormat="1" ht="20.25" customHeight="1">
      <c r="A278" s="3" t="s">
        <v>782</v>
      </c>
      <c r="B278" s="167">
        <v>70</v>
      </c>
      <c r="C278" s="4">
        <v>3262</v>
      </c>
      <c r="D278" s="161">
        <f t="shared" si="10"/>
        <v>228340</v>
      </c>
      <c r="E278" s="26"/>
      <c r="F278" s="26"/>
      <c r="G278" s="26"/>
      <c r="H278" s="78"/>
    </row>
    <row r="279" spans="1:8" s="1" customFormat="1" ht="20.25" customHeight="1">
      <c r="A279" s="3" t="s">
        <v>783</v>
      </c>
      <c r="B279" s="167">
        <v>40</v>
      </c>
      <c r="C279" s="4">
        <v>1800</v>
      </c>
      <c r="D279" s="161">
        <f t="shared" si="10"/>
        <v>72000</v>
      </c>
      <c r="E279" s="26"/>
      <c r="F279" s="26"/>
      <c r="G279" s="26"/>
      <c r="H279" s="78"/>
    </row>
    <row r="280" spans="1:8" s="1" customFormat="1" ht="20.25" customHeight="1">
      <c r="A280" s="3" t="s">
        <v>784</v>
      </c>
      <c r="B280" s="167">
        <v>21</v>
      </c>
      <c r="C280" s="4">
        <v>4455</v>
      </c>
      <c r="D280" s="161">
        <f t="shared" si="10"/>
        <v>93555</v>
      </c>
      <c r="E280" s="26"/>
      <c r="F280" s="26"/>
      <c r="G280" s="26"/>
      <c r="H280" s="78"/>
    </row>
    <row r="281" spans="1:8" s="1" customFormat="1" ht="20.25" customHeight="1">
      <c r="A281" s="170" t="s">
        <v>144</v>
      </c>
      <c r="B281" s="159"/>
      <c r="C281" s="161"/>
      <c r="D281" s="155">
        <f>SUM(D282:D374)</f>
        <v>95168374.439999998</v>
      </c>
      <c r="E281" s="26"/>
      <c r="F281" s="26"/>
      <c r="G281" s="26"/>
      <c r="H281" s="78"/>
    </row>
    <row r="282" spans="1:8" s="1" customFormat="1" ht="20.25" customHeight="1">
      <c r="A282" s="27" t="s">
        <v>381</v>
      </c>
      <c r="B282" s="168">
        <v>500</v>
      </c>
      <c r="C282" s="160">
        <v>150</v>
      </c>
      <c r="D282" s="161">
        <f>+C282*B282</f>
        <v>75000</v>
      </c>
      <c r="E282" s="26"/>
      <c r="F282" s="26"/>
      <c r="G282" s="26"/>
      <c r="H282" s="78"/>
    </row>
    <row r="283" spans="1:8" s="1" customFormat="1" ht="20.25" customHeight="1">
      <c r="A283" s="27" t="s">
        <v>382</v>
      </c>
      <c r="B283" s="168">
        <v>500</v>
      </c>
      <c r="C283" s="160">
        <v>400</v>
      </c>
      <c r="D283" s="161">
        <f t="shared" ref="D283:D348" si="11">+C283*B283</f>
        <v>200000</v>
      </c>
      <c r="E283" s="26"/>
      <c r="F283" s="26"/>
      <c r="G283" s="26"/>
      <c r="H283" s="78"/>
    </row>
    <row r="284" spans="1:8" s="1" customFormat="1" ht="20.25" customHeight="1">
      <c r="A284" s="27" t="s">
        <v>383</v>
      </c>
      <c r="B284" s="168">
        <v>4800</v>
      </c>
      <c r="C284" s="160">
        <v>250</v>
      </c>
      <c r="D284" s="161">
        <f t="shared" si="11"/>
        <v>1200000</v>
      </c>
      <c r="E284" s="26"/>
      <c r="F284" s="26"/>
      <c r="G284" s="26"/>
      <c r="H284" s="78"/>
    </row>
    <row r="285" spans="1:8" s="1" customFormat="1" ht="20.25" customHeight="1">
      <c r="A285" s="27" t="s">
        <v>384</v>
      </c>
      <c r="B285" s="168">
        <v>3500</v>
      </c>
      <c r="C285" s="160">
        <v>65</v>
      </c>
      <c r="D285" s="161">
        <f t="shared" si="11"/>
        <v>227500</v>
      </c>
      <c r="E285" s="26"/>
      <c r="F285" s="26"/>
      <c r="G285" s="26"/>
      <c r="H285" s="78"/>
    </row>
    <row r="286" spans="1:8" s="1" customFormat="1" ht="20.25" customHeight="1">
      <c r="A286" s="27" t="s">
        <v>385</v>
      </c>
      <c r="B286" s="168">
        <v>800</v>
      </c>
      <c r="C286" s="160">
        <v>180</v>
      </c>
      <c r="D286" s="161">
        <f t="shared" si="11"/>
        <v>144000</v>
      </c>
      <c r="E286" s="26"/>
      <c r="F286" s="26"/>
      <c r="G286" s="26"/>
      <c r="H286" s="78"/>
    </row>
    <row r="287" spans="1:8" s="1" customFormat="1" ht="20.25" customHeight="1">
      <c r="A287" s="27" t="s">
        <v>386</v>
      </c>
      <c r="B287" s="168">
        <v>150</v>
      </c>
      <c r="C287" s="160">
        <v>575</v>
      </c>
      <c r="D287" s="161">
        <f t="shared" si="11"/>
        <v>86250</v>
      </c>
      <c r="E287" s="26"/>
      <c r="F287" s="26"/>
      <c r="G287" s="26"/>
      <c r="H287" s="78"/>
    </row>
    <row r="288" spans="1:8" s="1" customFormat="1" ht="20.25" customHeight="1">
      <c r="A288" s="27" t="s">
        <v>387</v>
      </c>
      <c r="B288" s="168">
        <v>450</v>
      </c>
      <c r="C288" s="160">
        <v>350</v>
      </c>
      <c r="D288" s="161">
        <f t="shared" si="11"/>
        <v>157500</v>
      </c>
      <c r="E288" s="26"/>
      <c r="F288" s="26"/>
      <c r="G288" s="26"/>
      <c r="H288" s="78"/>
    </row>
    <row r="289" spans="1:8" s="1" customFormat="1" ht="20.25" customHeight="1">
      <c r="A289" s="27" t="s">
        <v>388</v>
      </c>
      <c r="B289" s="168">
        <v>2400</v>
      </c>
      <c r="C289" s="160">
        <v>6</v>
      </c>
      <c r="D289" s="161">
        <f t="shared" si="11"/>
        <v>14400</v>
      </c>
      <c r="E289" s="26"/>
      <c r="F289" s="26"/>
      <c r="G289" s="26"/>
      <c r="H289" s="78"/>
    </row>
    <row r="290" spans="1:8" s="1" customFormat="1" ht="20.25" customHeight="1">
      <c r="A290" s="27" t="s">
        <v>389</v>
      </c>
      <c r="B290" s="168">
        <v>1000</v>
      </c>
      <c r="C290" s="160">
        <v>25</v>
      </c>
      <c r="D290" s="161">
        <f t="shared" si="11"/>
        <v>25000</v>
      </c>
      <c r="E290" s="26"/>
      <c r="F290" s="26"/>
      <c r="G290" s="26"/>
      <c r="H290" s="78"/>
    </row>
    <row r="291" spans="1:8" s="1" customFormat="1" ht="20.25" customHeight="1">
      <c r="A291" s="3" t="s">
        <v>390</v>
      </c>
      <c r="B291" s="167">
        <v>2400</v>
      </c>
      <c r="C291" s="4">
        <v>40</v>
      </c>
      <c r="D291" s="161">
        <f t="shared" si="11"/>
        <v>96000</v>
      </c>
      <c r="E291" s="26"/>
      <c r="F291" s="26"/>
      <c r="G291" s="26"/>
      <c r="H291" s="78"/>
    </row>
    <row r="292" spans="1:8" s="1" customFormat="1" ht="20.25" customHeight="1">
      <c r="A292" s="3" t="s">
        <v>785</v>
      </c>
      <c r="B292" s="167">
        <v>2000</v>
      </c>
      <c r="C292" s="4">
        <v>500</v>
      </c>
      <c r="D292" s="161">
        <f t="shared" si="11"/>
        <v>1000000</v>
      </c>
      <c r="E292" s="26"/>
      <c r="F292" s="26"/>
      <c r="G292" s="26"/>
      <c r="H292" s="78"/>
    </row>
    <row r="293" spans="1:8" s="1" customFormat="1" ht="20.25" customHeight="1">
      <c r="A293" s="27" t="s">
        <v>391</v>
      </c>
      <c r="B293" s="168">
        <v>500</v>
      </c>
      <c r="C293" s="160">
        <v>40</v>
      </c>
      <c r="D293" s="161">
        <f t="shared" si="11"/>
        <v>20000</v>
      </c>
      <c r="E293" s="26"/>
      <c r="F293" s="26"/>
      <c r="G293" s="26"/>
      <c r="H293" s="78"/>
    </row>
    <row r="294" spans="1:8" s="1" customFormat="1" ht="20.25" customHeight="1">
      <c r="A294" s="27" t="s">
        <v>392</v>
      </c>
      <c r="B294" s="168">
        <v>250</v>
      </c>
      <c r="C294" s="160">
        <v>20</v>
      </c>
      <c r="D294" s="161">
        <f t="shared" si="11"/>
        <v>5000</v>
      </c>
      <c r="E294" s="26"/>
      <c r="F294" s="26"/>
      <c r="G294" s="26"/>
      <c r="H294" s="78"/>
    </row>
    <row r="295" spans="1:8" s="1" customFormat="1" ht="20.25" customHeight="1">
      <c r="A295" s="27" t="s">
        <v>393</v>
      </c>
      <c r="B295" s="168">
        <v>500</v>
      </c>
      <c r="C295" s="160">
        <v>325</v>
      </c>
      <c r="D295" s="161">
        <f t="shared" si="11"/>
        <v>162500</v>
      </c>
      <c r="E295" s="26"/>
      <c r="F295" s="26"/>
      <c r="G295" s="26"/>
      <c r="H295" s="78"/>
    </row>
    <row r="296" spans="1:8" s="1" customFormat="1" ht="20.25" customHeight="1">
      <c r="A296" s="27" t="s">
        <v>394</v>
      </c>
      <c r="B296" s="168">
        <v>1000</v>
      </c>
      <c r="C296" s="160">
        <v>440</v>
      </c>
      <c r="D296" s="161">
        <f t="shared" si="11"/>
        <v>440000</v>
      </c>
      <c r="E296" s="26"/>
      <c r="F296" s="26"/>
      <c r="G296" s="26"/>
      <c r="H296" s="78"/>
    </row>
    <row r="297" spans="1:8" s="1" customFormat="1" ht="20.25" customHeight="1">
      <c r="A297" s="27" t="s">
        <v>395</v>
      </c>
      <c r="B297" s="168">
        <v>100</v>
      </c>
      <c r="C297" s="160">
        <v>1250</v>
      </c>
      <c r="D297" s="161">
        <f t="shared" si="11"/>
        <v>125000</v>
      </c>
      <c r="E297" s="26"/>
      <c r="F297" s="26"/>
      <c r="G297" s="26"/>
      <c r="H297" s="78"/>
    </row>
    <row r="298" spans="1:8" s="1" customFormat="1" ht="20.25" customHeight="1">
      <c r="A298" s="27" t="s">
        <v>396</v>
      </c>
      <c r="B298" s="168">
        <v>1000</v>
      </c>
      <c r="C298" s="160">
        <v>80</v>
      </c>
      <c r="D298" s="161">
        <f t="shared" si="11"/>
        <v>80000</v>
      </c>
      <c r="E298" s="26"/>
      <c r="F298" s="26"/>
      <c r="G298" s="26"/>
      <c r="H298" s="78"/>
    </row>
    <row r="299" spans="1:8" s="1" customFormat="1" ht="20.25" customHeight="1">
      <c r="A299" s="27" t="s">
        <v>397</v>
      </c>
      <c r="B299" s="168">
        <v>800</v>
      </c>
      <c r="C299" s="160">
        <v>75</v>
      </c>
      <c r="D299" s="161">
        <f t="shared" si="11"/>
        <v>60000</v>
      </c>
      <c r="E299" s="26"/>
      <c r="F299" s="26"/>
      <c r="G299" s="26"/>
      <c r="H299" s="78"/>
    </row>
    <row r="300" spans="1:8" s="1" customFormat="1" ht="20.25" customHeight="1">
      <c r="A300" s="27" t="s">
        <v>398</v>
      </c>
      <c r="B300" s="168">
        <v>300</v>
      </c>
      <c r="C300" s="160">
        <v>145</v>
      </c>
      <c r="D300" s="161">
        <f t="shared" si="11"/>
        <v>43500</v>
      </c>
      <c r="E300" s="26"/>
      <c r="F300" s="26"/>
      <c r="G300" s="26"/>
      <c r="H300" s="78"/>
    </row>
    <row r="301" spans="1:8" s="1" customFormat="1" ht="20.25" customHeight="1">
      <c r="A301" s="3" t="s">
        <v>399</v>
      </c>
      <c r="B301" s="168">
        <v>4500</v>
      </c>
      <c r="C301" s="160">
        <v>2850</v>
      </c>
      <c r="D301" s="161">
        <f t="shared" si="11"/>
        <v>12825000</v>
      </c>
      <c r="E301" s="26"/>
      <c r="F301" s="26"/>
      <c r="G301" s="26"/>
      <c r="H301" s="78"/>
    </row>
    <row r="302" spans="1:8" s="1" customFormat="1" ht="20.25" customHeight="1">
      <c r="A302" s="27" t="s">
        <v>400</v>
      </c>
      <c r="B302" s="168">
        <v>120</v>
      </c>
      <c r="C302" s="160">
        <v>70</v>
      </c>
      <c r="D302" s="161">
        <f t="shared" si="11"/>
        <v>8400</v>
      </c>
      <c r="E302" s="26"/>
      <c r="F302" s="26"/>
      <c r="G302" s="26"/>
      <c r="H302" s="78"/>
    </row>
    <row r="303" spans="1:8" s="1" customFormat="1" ht="20.25" customHeight="1">
      <c r="A303" s="27" t="s">
        <v>401</v>
      </c>
      <c r="B303" s="168">
        <v>1500</v>
      </c>
      <c r="C303" s="160">
        <v>75</v>
      </c>
      <c r="D303" s="161">
        <f t="shared" si="11"/>
        <v>112500</v>
      </c>
      <c r="E303" s="26"/>
      <c r="F303" s="26"/>
      <c r="G303" s="26"/>
      <c r="H303" s="78"/>
    </row>
    <row r="304" spans="1:8" s="1" customFormat="1" ht="20.25" customHeight="1">
      <c r="A304" s="27" t="s">
        <v>402</v>
      </c>
      <c r="B304" s="168">
        <v>300</v>
      </c>
      <c r="C304" s="160">
        <v>45</v>
      </c>
      <c r="D304" s="161">
        <f t="shared" si="11"/>
        <v>13500</v>
      </c>
      <c r="E304" s="26"/>
      <c r="F304" s="26"/>
      <c r="G304" s="26"/>
      <c r="H304" s="78"/>
    </row>
    <row r="305" spans="1:8" s="1" customFormat="1" ht="20.25" customHeight="1">
      <c r="A305" s="27" t="s">
        <v>403</v>
      </c>
      <c r="B305" s="168">
        <v>1000</v>
      </c>
      <c r="C305" s="160">
        <v>130</v>
      </c>
      <c r="D305" s="161">
        <f t="shared" si="11"/>
        <v>130000</v>
      </c>
      <c r="E305" s="26"/>
      <c r="F305" s="26"/>
      <c r="G305" s="26"/>
      <c r="H305" s="78"/>
    </row>
    <row r="306" spans="1:8" s="1" customFormat="1" ht="20.25" customHeight="1">
      <c r="A306" s="27" t="s">
        <v>404</v>
      </c>
      <c r="B306" s="168">
        <v>7000</v>
      </c>
      <c r="C306" s="160">
        <v>5</v>
      </c>
      <c r="D306" s="161">
        <f t="shared" si="11"/>
        <v>35000</v>
      </c>
      <c r="E306" s="26"/>
      <c r="F306" s="26"/>
      <c r="G306" s="26"/>
      <c r="H306" s="78"/>
    </row>
    <row r="307" spans="1:8" s="1" customFormat="1" ht="20.25" customHeight="1">
      <c r="A307" s="27" t="s">
        <v>405</v>
      </c>
      <c r="B307" s="168">
        <v>2000</v>
      </c>
      <c r="C307" s="160">
        <v>22</v>
      </c>
      <c r="D307" s="161">
        <f t="shared" si="11"/>
        <v>44000</v>
      </c>
      <c r="E307" s="26"/>
      <c r="F307" s="26"/>
      <c r="G307" s="26"/>
      <c r="H307" s="78"/>
    </row>
    <row r="308" spans="1:8" s="1" customFormat="1" ht="20.25" customHeight="1">
      <c r="A308" s="27" t="s">
        <v>406</v>
      </c>
      <c r="B308" s="168">
        <v>5000</v>
      </c>
      <c r="C308" s="160">
        <v>10</v>
      </c>
      <c r="D308" s="161">
        <f t="shared" si="11"/>
        <v>50000</v>
      </c>
      <c r="E308" s="26"/>
      <c r="F308" s="26"/>
      <c r="G308" s="26"/>
      <c r="H308" s="78"/>
    </row>
    <row r="309" spans="1:8" s="1" customFormat="1" ht="20.25" customHeight="1">
      <c r="A309" s="27" t="s">
        <v>407</v>
      </c>
      <c r="B309" s="168">
        <v>300</v>
      </c>
      <c r="C309" s="160">
        <v>284</v>
      </c>
      <c r="D309" s="161">
        <f t="shared" si="11"/>
        <v>85200</v>
      </c>
      <c r="E309" s="26"/>
      <c r="F309" s="26"/>
      <c r="G309" s="26"/>
      <c r="H309" s="78"/>
    </row>
    <row r="310" spans="1:8" s="1" customFormat="1" ht="20.25" customHeight="1">
      <c r="A310" s="27" t="s">
        <v>408</v>
      </c>
      <c r="B310" s="168">
        <v>600</v>
      </c>
      <c r="C310" s="160">
        <v>45</v>
      </c>
      <c r="D310" s="161">
        <f t="shared" si="11"/>
        <v>27000</v>
      </c>
      <c r="E310" s="26"/>
      <c r="F310" s="26"/>
      <c r="G310" s="26"/>
      <c r="H310" s="78"/>
    </row>
    <row r="311" spans="1:8" s="1" customFormat="1" ht="20.25" customHeight="1">
      <c r="A311" s="27" t="s">
        <v>409</v>
      </c>
      <c r="B311" s="168">
        <v>600</v>
      </c>
      <c r="C311" s="160">
        <v>45</v>
      </c>
      <c r="D311" s="161">
        <f t="shared" si="11"/>
        <v>27000</v>
      </c>
      <c r="E311" s="26"/>
      <c r="F311" s="26"/>
      <c r="G311" s="26"/>
      <c r="H311" s="78"/>
    </row>
    <row r="312" spans="1:8" s="1" customFormat="1" ht="20.25" customHeight="1">
      <c r="A312" s="27" t="s">
        <v>410</v>
      </c>
      <c r="B312" s="168">
        <v>20</v>
      </c>
      <c r="C312" s="160">
        <v>360</v>
      </c>
      <c r="D312" s="161">
        <f t="shared" si="11"/>
        <v>7200</v>
      </c>
      <c r="E312" s="26"/>
      <c r="F312" s="26"/>
      <c r="G312" s="26"/>
      <c r="H312" s="78"/>
    </row>
    <row r="313" spans="1:8" s="1" customFormat="1" ht="20.25" customHeight="1">
      <c r="A313" s="27" t="s">
        <v>411</v>
      </c>
      <c r="B313" s="168">
        <v>100</v>
      </c>
      <c r="C313" s="160">
        <v>13</v>
      </c>
      <c r="D313" s="161">
        <f t="shared" si="11"/>
        <v>1300</v>
      </c>
      <c r="E313" s="26"/>
      <c r="F313" s="26"/>
      <c r="G313" s="26"/>
      <c r="H313" s="78"/>
    </row>
    <row r="314" spans="1:8" s="1" customFormat="1" ht="20.25" customHeight="1">
      <c r="A314" s="27" t="s">
        <v>412</v>
      </c>
      <c r="B314" s="168">
        <v>250</v>
      </c>
      <c r="C314" s="160">
        <v>50</v>
      </c>
      <c r="D314" s="161">
        <f t="shared" si="11"/>
        <v>12500</v>
      </c>
      <c r="E314" s="26"/>
      <c r="F314" s="26"/>
      <c r="G314" s="26"/>
      <c r="H314" s="78"/>
    </row>
    <row r="315" spans="1:8" s="1" customFormat="1" ht="20.25" customHeight="1">
      <c r="A315" s="27" t="s">
        <v>413</v>
      </c>
      <c r="B315" s="168">
        <v>50</v>
      </c>
      <c r="C315" s="160">
        <v>445</v>
      </c>
      <c r="D315" s="161">
        <f t="shared" si="11"/>
        <v>22250</v>
      </c>
      <c r="E315" s="26"/>
      <c r="F315" s="26"/>
      <c r="G315" s="26"/>
      <c r="H315" s="78"/>
    </row>
    <row r="316" spans="1:8" s="1" customFormat="1" ht="20.25" customHeight="1">
      <c r="A316" s="27" t="s">
        <v>414</v>
      </c>
      <c r="B316" s="168">
        <v>500</v>
      </c>
      <c r="C316" s="160">
        <v>93</v>
      </c>
      <c r="D316" s="161">
        <f t="shared" si="11"/>
        <v>46500</v>
      </c>
      <c r="E316" s="26"/>
      <c r="F316" s="26"/>
      <c r="G316" s="26"/>
      <c r="H316" s="78"/>
    </row>
    <row r="317" spans="1:8" s="1" customFormat="1" ht="20.25" customHeight="1">
      <c r="A317" s="27" t="s">
        <v>415</v>
      </c>
      <c r="B317" s="168">
        <v>1000</v>
      </c>
      <c r="C317" s="160">
        <v>340</v>
      </c>
      <c r="D317" s="161">
        <f t="shared" si="11"/>
        <v>340000</v>
      </c>
      <c r="E317" s="26"/>
      <c r="F317" s="26"/>
      <c r="G317" s="26"/>
      <c r="H317" s="78"/>
    </row>
    <row r="318" spans="1:8" s="1" customFormat="1" ht="20.25" customHeight="1">
      <c r="A318" s="27" t="s">
        <v>416</v>
      </c>
      <c r="B318" s="168">
        <v>1000</v>
      </c>
      <c r="C318" s="160">
        <v>15</v>
      </c>
      <c r="D318" s="161">
        <f t="shared" si="11"/>
        <v>15000</v>
      </c>
      <c r="E318" s="26"/>
      <c r="F318" s="26"/>
      <c r="G318" s="26"/>
      <c r="H318" s="78"/>
    </row>
    <row r="319" spans="1:8" s="1" customFormat="1" ht="20.25" customHeight="1">
      <c r="A319" s="27" t="s">
        <v>417</v>
      </c>
      <c r="B319" s="168">
        <v>1500</v>
      </c>
      <c r="C319" s="160">
        <v>150</v>
      </c>
      <c r="D319" s="161">
        <f t="shared" si="11"/>
        <v>225000</v>
      </c>
      <c r="E319" s="26"/>
      <c r="F319" s="26"/>
      <c r="G319" s="26"/>
      <c r="H319" s="78"/>
    </row>
    <row r="320" spans="1:8" s="1" customFormat="1" ht="20.25" customHeight="1">
      <c r="A320" s="27" t="s">
        <v>418</v>
      </c>
      <c r="B320" s="183">
        <v>600</v>
      </c>
      <c r="C320" s="160">
        <v>90</v>
      </c>
      <c r="D320" s="161">
        <f t="shared" si="11"/>
        <v>54000</v>
      </c>
      <c r="E320" s="26"/>
      <c r="F320" s="26"/>
      <c r="G320" s="26"/>
      <c r="H320" s="78"/>
    </row>
    <row r="321" spans="1:8" s="1" customFormat="1" ht="20.25" customHeight="1">
      <c r="A321" s="27" t="s">
        <v>419</v>
      </c>
      <c r="B321" s="183">
        <v>450</v>
      </c>
      <c r="C321" s="160">
        <v>154</v>
      </c>
      <c r="D321" s="161">
        <f t="shared" si="11"/>
        <v>69300</v>
      </c>
      <c r="E321" s="26"/>
      <c r="F321" s="26"/>
      <c r="G321" s="26"/>
      <c r="H321" s="78"/>
    </row>
    <row r="322" spans="1:8" s="1" customFormat="1" ht="20.25" customHeight="1">
      <c r="A322" s="27" t="s">
        <v>420</v>
      </c>
      <c r="B322" s="183">
        <v>1000</v>
      </c>
      <c r="C322" s="160">
        <v>134</v>
      </c>
      <c r="D322" s="161">
        <f t="shared" si="11"/>
        <v>134000</v>
      </c>
      <c r="E322" s="26"/>
      <c r="F322" s="26"/>
      <c r="G322" s="26"/>
      <c r="H322" s="78"/>
    </row>
    <row r="323" spans="1:8" s="1" customFormat="1" ht="20.25" customHeight="1">
      <c r="A323" s="27" t="s">
        <v>421</v>
      </c>
      <c r="B323" s="183">
        <v>1000</v>
      </c>
      <c r="C323" s="160">
        <v>180</v>
      </c>
      <c r="D323" s="161">
        <f t="shared" si="11"/>
        <v>180000</v>
      </c>
      <c r="E323" s="26"/>
      <c r="F323" s="26"/>
      <c r="G323" s="26"/>
      <c r="H323" s="78"/>
    </row>
    <row r="324" spans="1:8" s="1" customFormat="1" ht="20.25" customHeight="1">
      <c r="A324" s="27" t="s">
        <v>422</v>
      </c>
      <c r="B324" s="183">
        <v>600</v>
      </c>
      <c r="C324" s="160">
        <v>43</v>
      </c>
      <c r="D324" s="161">
        <f t="shared" si="11"/>
        <v>25800</v>
      </c>
      <c r="E324" s="26"/>
      <c r="F324" s="26"/>
      <c r="G324" s="26"/>
      <c r="H324" s="78"/>
    </row>
    <row r="325" spans="1:8" s="1" customFormat="1" ht="20.25" customHeight="1">
      <c r="A325" s="27" t="s">
        <v>423</v>
      </c>
      <c r="B325" s="183">
        <v>600</v>
      </c>
      <c r="C325" s="160">
        <v>30</v>
      </c>
      <c r="D325" s="161">
        <f t="shared" si="11"/>
        <v>18000</v>
      </c>
      <c r="E325" s="26"/>
      <c r="F325" s="26"/>
      <c r="G325" s="26"/>
      <c r="H325" s="78"/>
    </row>
    <row r="326" spans="1:8" s="1" customFormat="1" ht="20.25" customHeight="1">
      <c r="A326" s="27" t="s">
        <v>424</v>
      </c>
      <c r="B326" s="183">
        <v>600</v>
      </c>
      <c r="C326" s="160">
        <v>21</v>
      </c>
      <c r="D326" s="161">
        <f t="shared" si="11"/>
        <v>12600</v>
      </c>
      <c r="E326" s="26"/>
      <c r="F326" s="26"/>
      <c r="G326" s="26"/>
      <c r="H326" s="78"/>
    </row>
    <row r="327" spans="1:8" s="1" customFormat="1" ht="20.25" customHeight="1">
      <c r="A327" s="27" t="s">
        <v>425</v>
      </c>
      <c r="B327" s="183">
        <v>2500</v>
      </c>
      <c r="C327" s="160">
        <v>3250</v>
      </c>
      <c r="D327" s="161">
        <f t="shared" si="11"/>
        <v>8125000</v>
      </c>
      <c r="E327" s="26"/>
      <c r="F327" s="26"/>
      <c r="G327" s="26"/>
      <c r="H327" s="78"/>
    </row>
    <row r="328" spans="1:8" s="1" customFormat="1" ht="20.25" customHeight="1">
      <c r="A328" s="27" t="s">
        <v>426</v>
      </c>
      <c r="B328" s="183">
        <v>2500</v>
      </c>
      <c r="C328" s="160">
        <v>4100</v>
      </c>
      <c r="D328" s="161">
        <f t="shared" si="11"/>
        <v>10250000</v>
      </c>
      <c r="E328" s="26"/>
      <c r="F328" s="26"/>
      <c r="G328" s="26"/>
      <c r="H328" s="78"/>
    </row>
    <row r="329" spans="1:8" s="1" customFormat="1" ht="20.25" customHeight="1">
      <c r="A329" s="27" t="s">
        <v>427</v>
      </c>
      <c r="B329" s="168">
        <v>2000</v>
      </c>
      <c r="C329" s="160">
        <v>3250</v>
      </c>
      <c r="D329" s="161">
        <f t="shared" ref="D329:D334" si="12">+C329*B329</f>
        <v>6500000</v>
      </c>
      <c r="E329" s="26"/>
      <c r="F329" s="26"/>
      <c r="G329" s="26"/>
      <c r="H329" s="78"/>
    </row>
    <row r="330" spans="1:8" s="1" customFormat="1" ht="20.25" customHeight="1">
      <c r="A330" s="3" t="s">
        <v>787</v>
      </c>
      <c r="B330" s="167">
        <v>40</v>
      </c>
      <c r="C330" s="160">
        <v>950</v>
      </c>
      <c r="D330" s="161">
        <f t="shared" si="12"/>
        <v>38000</v>
      </c>
      <c r="E330" s="26"/>
      <c r="F330" s="26"/>
      <c r="G330" s="26"/>
      <c r="H330" s="78"/>
    </row>
    <row r="331" spans="1:8" s="1" customFormat="1" ht="20.25" customHeight="1">
      <c r="A331" s="3" t="s">
        <v>788</v>
      </c>
      <c r="B331" s="167">
        <v>20</v>
      </c>
      <c r="C331" s="160">
        <v>1250</v>
      </c>
      <c r="D331" s="161">
        <f t="shared" si="12"/>
        <v>25000</v>
      </c>
      <c r="E331" s="26"/>
      <c r="F331" s="26"/>
      <c r="G331" s="26"/>
      <c r="H331" s="78"/>
    </row>
    <row r="332" spans="1:8" s="1" customFormat="1" ht="20.25" customHeight="1">
      <c r="A332" s="3" t="s">
        <v>428</v>
      </c>
      <c r="B332" s="167">
        <v>1500</v>
      </c>
      <c r="C332" s="4">
        <v>538.38</v>
      </c>
      <c r="D332" s="161">
        <f t="shared" si="12"/>
        <v>807570</v>
      </c>
      <c r="E332" s="26"/>
      <c r="F332" s="26"/>
      <c r="G332" s="26"/>
      <c r="H332" s="78"/>
    </row>
    <row r="333" spans="1:8" s="1" customFormat="1" ht="20.25" customHeight="1">
      <c r="A333" s="3" t="s">
        <v>429</v>
      </c>
      <c r="B333" s="167">
        <v>24</v>
      </c>
      <c r="C333" s="4">
        <v>1625.16</v>
      </c>
      <c r="D333" s="161">
        <f t="shared" si="12"/>
        <v>39003.840000000004</v>
      </c>
      <c r="E333" s="26"/>
      <c r="F333" s="26"/>
      <c r="G333" s="26"/>
      <c r="H333" s="78" t="s">
        <v>430</v>
      </c>
    </row>
    <row r="334" spans="1:8" s="1" customFormat="1" ht="20.25" customHeight="1">
      <c r="A334" s="3" t="s">
        <v>786</v>
      </c>
      <c r="B334" s="167">
        <v>24</v>
      </c>
      <c r="C334" s="4">
        <v>2321.65</v>
      </c>
      <c r="D334" s="161">
        <f t="shared" si="12"/>
        <v>55719.600000000006</v>
      </c>
      <c r="E334" s="26"/>
      <c r="F334" s="26"/>
      <c r="G334" s="26"/>
      <c r="H334" s="78" t="s">
        <v>430</v>
      </c>
    </row>
    <row r="335" spans="1:8" s="1" customFormat="1" ht="20.25" customHeight="1">
      <c r="A335" s="3" t="s">
        <v>431</v>
      </c>
      <c r="B335" s="159">
        <v>50</v>
      </c>
      <c r="C335" s="4">
        <v>351.54</v>
      </c>
      <c r="D335" s="161">
        <f t="shared" si="11"/>
        <v>17577</v>
      </c>
      <c r="E335" s="26"/>
      <c r="F335" s="26"/>
      <c r="G335" s="26"/>
      <c r="H335" s="78"/>
    </row>
    <row r="336" spans="1:8" s="1" customFormat="1" ht="20.25" customHeight="1">
      <c r="A336" s="3" t="s">
        <v>432</v>
      </c>
      <c r="B336" s="159">
        <v>50</v>
      </c>
      <c r="C336" s="4">
        <v>259.60000000000002</v>
      </c>
      <c r="D336" s="161">
        <f t="shared" si="11"/>
        <v>12980.000000000002</v>
      </c>
      <c r="E336" s="26"/>
      <c r="F336" s="26"/>
      <c r="G336" s="26"/>
      <c r="H336" s="78"/>
    </row>
    <row r="337" spans="1:8" s="1" customFormat="1" ht="20.25" customHeight="1">
      <c r="A337" s="3" t="s">
        <v>433</v>
      </c>
      <c r="B337" s="159">
        <v>50</v>
      </c>
      <c r="C337" s="4">
        <v>519.20000000000005</v>
      </c>
      <c r="D337" s="161">
        <f t="shared" si="11"/>
        <v>25960.000000000004</v>
      </c>
      <c r="E337" s="26"/>
      <c r="F337" s="26"/>
      <c r="G337" s="26"/>
      <c r="H337" s="78"/>
    </row>
    <row r="338" spans="1:8" s="1" customFormat="1" ht="20.25" customHeight="1">
      <c r="A338" s="3" t="s">
        <v>434</v>
      </c>
      <c r="B338" s="159">
        <v>50</v>
      </c>
      <c r="C338" s="4">
        <v>703.28</v>
      </c>
      <c r="D338" s="161">
        <f t="shared" si="11"/>
        <v>35164</v>
      </c>
      <c r="E338" s="26"/>
      <c r="F338" s="26"/>
      <c r="G338" s="26"/>
      <c r="H338" s="78"/>
    </row>
    <row r="339" spans="1:8" s="1" customFormat="1" ht="20.25" customHeight="1">
      <c r="A339" s="3" t="s">
        <v>435</v>
      </c>
      <c r="B339" s="159">
        <v>750</v>
      </c>
      <c r="C339" s="160">
        <v>625</v>
      </c>
      <c r="D339" s="161">
        <f t="shared" si="11"/>
        <v>468750</v>
      </c>
      <c r="E339" s="26"/>
      <c r="F339" s="26"/>
      <c r="G339" s="26"/>
      <c r="H339" s="78"/>
    </row>
    <row r="340" spans="1:8" s="1" customFormat="1" ht="20.25" customHeight="1">
      <c r="A340" s="3" t="s">
        <v>790</v>
      </c>
      <c r="B340" s="159">
        <v>2000</v>
      </c>
      <c r="C340" s="160">
        <v>10</v>
      </c>
      <c r="D340" s="161">
        <f t="shared" si="11"/>
        <v>20000</v>
      </c>
      <c r="E340" s="26"/>
      <c r="F340" s="26"/>
      <c r="G340" s="26"/>
      <c r="H340" s="78"/>
    </row>
    <row r="341" spans="1:8" s="1" customFormat="1" ht="20.25" customHeight="1">
      <c r="A341" s="27" t="s">
        <v>436</v>
      </c>
      <c r="B341" s="183">
        <v>3000</v>
      </c>
      <c r="C341" s="160">
        <v>1200</v>
      </c>
      <c r="D341" s="161">
        <f t="shared" si="11"/>
        <v>3600000</v>
      </c>
      <c r="E341" s="26"/>
      <c r="F341" s="26"/>
      <c r="G341" s="26"/>
      <c r="H341" s="78"/>
    </row>
    <row r="342" spans="1:8" s="1" customFormat="1" ht="20.25" customHeight="1">
      <c r="A342" s="27" t="s">
        <v>437</v>
      </c>
      <c r="B342" s="183">
        <v>200</v>
      </c>
      <c r="C342" s="160">
        <v>115</v>
      </c>
      <c r="D342" s="161">
        <f t="shared" si="11"/>
        <v>23000</v>
      </c>
      <c r="E342" s="26"/>
      <c r="F342" s="26"/>
      <c r="G342" s="26"/>
      <c r="H342" s="78"/>
    </row>
    <row r="343" spans="1:8" s="1" customFormat="1" ht="20.25" customHeight="1">
      <c r="A343" s="27" t="s">
        <v>438</v>
      </c>
      <c r="B343" s="183">
        <v>720</v>
      </c>
      <c r="C343" s="160">
        <v>390</v>
      </c>
      <c r="D343" s="161">
        <f t="shared" si="11"/>
        <v>280800</v>
      </c>
      <c r="E343" s="26"/>
      <c r="F343" s="26"/>
      <c r="G343" s="26"/>
      <c r="H343" s="78"/>
    </row>
    <row r="344" spans="1:8" s="1" customFormat="1" ht="20.25" customHeight="1">
      <c r="A344" s="27" t="s">
        <v>439</v>
      </c>
      <c r="B344" s="183">
        <v>120</v>
      </c>
      <c r="C344" s="160">
        <v>375</v>
      </c>
      <c r="D344" s="161">
        <f t="shared" si="11"/>
        <v>45000</v>
      </c>
      <c r="E344" s="26"/>
      <c r="F344" s="26"/>
      <c r="G344" s="26"/>
      <c r="H344" s="78"/>
    </row>
    <row r="345" spans="1:8" s="1" customFormat="1" ht="20.25" customHeight="1">
      <c r="A345" s="27" t="s">
        <v>440</v>
      </c>
      <c r="B345" s="183">
        <v>150</v>
      </c>
      <c r="C345" s="160">
        <v>310</v>
      </c>
      <c r="D345" s="161">
        <f t="shared" si="11"/>
        <v>46500</v>
      </c>
      <c r="E345" s="26"/>
      <c r="F345" s="26"/>
      <c r="G345" s="26"/>
      <c r="H345" s="78"/>
    </row>
    <row r="346" spans="1:8" s="1" customFormat="1" ht="20.25" customHeight="1">
      <c r="A346" s="27" t="s">
        <v>532</v>
      </c>
      <c r="B346" s="183">
        <v>150</v>
      </c>
      <c r="C346" s="160">
        <v>968.5</v>
      </c>
      <c r="D346" s="161">
        <f t="shared" si="11"/>
        <v>145275</v>
      </c>
      <c r="E346" s="26"/>
      <c r="F346" s="26"/>
      <c r="G346" s="26"/>
      <c r="H346" s="122"/>
    </row>
    <row r="347" spans="1:8" s="1" customFormat="1" ht="20.25" customHeight="1">
      <c r="A347" s="27" t="s">
        <v>441</v>
      </c>
      <c r="B347" s="183">
        <v>5</v>
      </c>
      <c r="C347" s="160">
        <v>375</v>
      </c>
      <c r="D347" s="161">
        <f t="shared" si="11"/>
        <v>1875</v>
      </c>
      <c r="E347" s="26"/>
      <c r="F347" s="26"/>
      <c r="G347" s="26"/>
      <c r="H347" s="78"/>
    </row>
    <row r="348" spans="1:8" s="1" customFormat="1" ht="20.25" customHeight="1">
      <c r="A348" s="27" t="s">
        <v>442</v>
      </c>
      <c r="B348" s="183">
        <v>100</v>
      </c>
      <c r="C348" s="160">
        <v>200</v>
      </c>
      <c r="D348" s="161">
        <f t="shared" si="11"/>
        <v>20000</v>
      </c>
      <c r="E348" s="26"/>
      <c r="F348" s="26"/>
      <c r="G348" s="26"/>
      <c r="H348" s="78"/>
    </row>
    <row r="349" spans="1:8" s="1" customFormat="1" ht="20.25" customHeight="1">
      <c r="A349" s="27" t="s">
        <v>443</v>
      </c>
      <c r="B349" s="183">
        <v>6000</v>
      </c>
      <c r="C349" s="160">
        <v>875</v>
      </c>
      <c r="D349" s="161">
        <f t="shared" ref="D349:D374" si="13">+C349*B349</f>
        <v>5250000</v>
      </c>
      <c r="E349" s="26"/>
      <c r="F349" s="26"/>
      <c r="G349" s="26"/>
      <c r="H349" s="78"/>
    </row>
    <row r="350" spans="1:8" s="1" customFormat="1" ht="20.25" customHeight="1">
      <c r="A350" s="27" t="s">
        <v>444</v>
      </c>
      <c r="B350" s="183">
        <v>300</v>
      </c>
      <c r="C350" s="160">
        <v>150</v>
      </c>
      <c r="D350" s="161">
        <f t="shared" si="13"/>
        <v>45000</v>
      </c>
      <c r="E350" s="26"/>
      <c r="F350" s="26"/>
      <c r="G350" s="26"/>
      <c r="H350" s="78"/>
    </row>
    <row r="351" spans="1:8" s="1" customFormat="1" ht="20.25" customHeight="1">
      <c r="A351" s="27" t="s">
        <v>445</v>
      </c>
      <c r="B351" s="183">
        <v>500</v>
      </c>
      <c r="C351" s="160">
        <v>165</v>
      </c>
      <c r="D351" s="161">
        <f t="shared" si="13"/>
        <v>82500</v>
      </c>
      <c r="E351" s="26"/>
      <c r="F351" s="26"/>
      <c r="G351" s="26"/>
      <c r="H351" s="78"/>
    </row>
    <row r="352" spans="1:8" s="1" customFormat="1" ht="20.25" customHeight="1">
      <c r="A352" s="27" t="s">
        <v>789</v>
      </c>
      <c r="B352" s="183">
        <v>600</v>
      </c>
      <c r="C352" s="160">
        <v>90</v>
      </c>
      <c r="D352" s="161">
        <f t="shared" si="13"/>
        <v>54000</v>
      </c>
      <c r="E352" s="26"/>
      <c r="F352" s="26"/>
      <c r="G352" s="26"/>
      <c r="H352" s="78"/>
    </row>
    <row r="353" spans="1:8" s="1" customFormat="1" ht="20.25" customHeight="1">
      <c r="A353" s="27" t="s">
        <v>446</v>
      </c>
      <c r="B353" s="183">
        <v>650</v>
      </c>
      <c r="C353" s="160">
        <v>85</v>
      </c>
      <c r="D353" s="161">
        <f t="shared" si="13"/>
        <v>55250</v>
      </c>
      <c r="E353" s="26"/>
      <c r="F353" s="26"/>
      <c r="G353" s="26"/>
      <c r="H353" s="78"/>
    </row>
    <row r="354" spans="1:8" s="1" customFormat="1" ht="20.25" customHeight="1">
      <c r="A354" s="27" t="s">
        <v>447</v>
      </c>
      <c r="B354" s="183">
        <v>750</v>
      </c>
      <c r="C354" s="160">
        <v>45</v>
      </c>
      <c r="D354" s="161">
        <f t="shared" si="13"/>
        <v>33750</v>
      </c>
      <c r="E354" s="26"/>
      <c r="F354" s="26"/>
      <c r="G354" s="26"/>
      <c r="H354" s="78"/>
    </row>
    <row r="355" spans="1:8" s="1" customFormat="1" ht="20.25" customHeight="1">
      <c r="A355" s="27" t="s">
        <v>448</v>
      </c>
      <c r="B355" s="183">
        <v>550</v>
      </c>
      <c r="C355" s="160">
        <v>126</v>
      </c>
      <c r="D355" s="161">
        <f t="shared" si="13"/>
        <v>69300</v>
      </c>
      <c r="E355" s="26"/>
      <c r="F355" s="26"/>
      <c r="G355" s="26"/>
      <c r="H355" s="78"/>
    </row>
    <row r="356" spans="1:8" s="1" customFormat="1" ht="20.25" customHeight="1">
      <c r="A356" s="27" t="s">
        <v>449</v>
      </c>
      <c r="B356" s="183">
        <v>400</v>
      </c>
      <c r="C356" s="160">
        <v>1865</v>
      </c>
      <c r="D356" s="161">
        <f t="shared" si="13"/>
        <v>746000</v>
      </c>
      <c r="E356" s="26"/>
      <c r="F356" s="26"/>
      <c r="G356" s="26"/>
      <c r="H356" s="78"/>
    </row>
    <row r="357" spans="1:8" s="1" customFormat="1" ht="20.25" customHeight="1">
      <c r="A357" s="27" t="s">
        <v>450</v>
      </c>
      <c r="B357" s="183">
        <v>300</v>
      </c>
      <c r="C357" s="160">
        <v>28</v>
      </c>
      <c r="D357" s="161">
        <f t="shared" si="13"/>
        <v>8400</v>
      </c>
      <c r="E357" s="26"/>
      <c r="F357" s="26"/>
      <c r="G357" s="26"/>
      <c r="H357" s="78"/>
    </row>
    <row r="358" spans="1:8" s="2" customFormat="1" ht="20.25" customHeight="1">
      <c r="A358" s="27" t="s">
        <v>51</v>
      </c>
      <c r="B358" s="183">
        <v>3000</v>
      </c>
      <c r="C358" s="160">
        <v>180</v>
      </c>
      <c r="D358" s="161">
        <f t="shared" si="13"/>
        <v>540000</v>
      </c>
      <c r="E358" s="26"/>
      <c r="F358" s="26"/>
      <c r="G358" s="26"/>
      <c r="H358" s="78"/>
    </row>
    <row r="359" spans="1:8" s="1" customFormat="1" ht="20.25" customHeight="1">
      <c r="A359" s="27" t="s">
        <v>451</v>
      </c>
      <c r="B359" s="183">
        <v>1000</v>
      </c>
      <c r="C359" s="160">
        <v>24</v>
      </c>
      <c r="D359" s="161">
        <f t="shared" si="13"/>
        <v>24000</v>
      </c>
      <c r="E359" s="26"/>
      <c r="F359" s="26"/>
      <c r="G359" s="26"/>
      <c r="H359" s="78"/>
    </row>
    <row r="360" spans="1:8" s="1" customFormat="1" ht="20.25" customHeight="1">
      <c r="A360" s="27" t="s">
        <v>452</v>
      </c>
      <c r="B360" s="183">
        <v>700</v>
      </c>
      <c r="C360" s="160">
        <v>2850</v>
      </c>
      <c r="D360" s="161">
        <f t="shared" si="13"/>
        <v>1995000</v>
      </c>
      <c r="E360" s="26"/>
      <c r="F360" s="26"/>
      <c r="G360" s="26"/>
      <c r="H360" s="78"/>
    </row>
    <row r="361" spans="1:8" s="1" customFormat="1" ht="20.25" customHeight="1">
      <c r="A361" s="27" t="s">
        <v>453</v>
      </c>
      <c r="B361" s="183">
        <v>750</v>
      </c>
      <c r="C361" s="160">
        <v>2310</v>
      </c>
      <c r="D361" s="161">
        <f t="shared" si="13"/>
        <v>1732500</v>
      </c>
      <c r="E361" s="26"/>
      <c r="F361" s="26"/>
      <c r="G361" s="26"/>
      <c r="H361" s="78"/>
    </row>
    <row r="362" spans="1:8" s="1" customFormat="1" ht="20.25" customHeight="1">
      <c r="A362" s="27" t="s">
        <v>454</v>
      </c>
      <c r="B362" s="183">
        <v>250</v>
      </c>
      <c r="C362" s="160">
        <v>624</v>
      </c>
      <c r="D362" s="161">
        <f t="shared" si="13"/>
        <v>156000</v>
      </c>
      <c r="E362" s="26"/>
      <c r="F362" s="26"/>
      <c r="G362" s="26"/>
      <c r="H362" s="78"/>
    </row>
    <row r="363" spans="1:8" s="1" customFormat="1" ht="20.25" customHeight="1">
      <c r="A363" s="27" t="s">
        <v>455</v>
      </c>
      <c r="B363" s="183">
        <v>850</v>
      </c>
      <c r="C363" s="160">
        <v>4380</v>
      </c>
      <c r="D363" s="161">
        <f t="shared" si="13"/>
        <v>3723000</v>
      </c>
      <c r="E363" s="26"/>
      <c r="F363" s="26"/>
      <c r="G363" s="26"/>
      <c r="H363" s="78"/>
    </row>
    <row r="364" spans="1:8" s="1" customFormat="1" ht="20.25" customHeight="1">
      <c r="A364" s="27" t="s">
        <v>456</v>
      </c>
      <c r="B364" s="183">
        <v>1500</v>
      </c>
      <c r="C364" s="160">
        <v>6000</v>
      </c>
      <c r="D364" s="161">
        <f t="shared" si="13"/>
        <v>9000000</v>
      </c>
      <c r="E364" s="26"/>
      <c r="F364" s="26"/>
      <c r="G364" s="26"/>
      <c r="H364" s="78"/>
    </row>
    <row r="365" spans="1:8" s="1" customFormat="1" ht="20.25" customHeight="1">
      <c r="A365" s="27" t="s">
        <v>457</v>
      </c>
      <c r="B365" s="183">
        <v>1000</v>
      </c>
      <c r="C365" s="160">
        <v>150</v>
      </c>
      <c r="D365" s="161">
        <f t="shared" si="13"/>
        <v>150000</v>
      </c>
      <c r="E365" s="26"/>
      <c r="F365" s="26"/>
      <c r="G365" s="26"/>
      <c r="H365" s="78"/>
    </row>
    <row r="366" spans="1:8" s="1" customFormat="1" ht="20.25" customHeight="1">
      <c r="A366" s="27" t="s">
        <v>458</v>
      </c>
      <c r="B366" s="183">
        <v>1000</v>
      </c>
      <c r="C366" s="160">
        <v>125</v>
      </c>
      <c r="D366" s="161">
        <f t="shared" si="13"/>
        <v>125000</v>
      </c>
      <c r="E366" s="26"/>
      <c r="F366" s="26"/>
      <c r="G366" s="26"/>
      <c r="H366" s="78"/>
    </row>
    <row r="367" spans="1:8" s="1" customFormat="1" ht="20.25" customHeight="1">
      <c r="A367" s="27" t="s">
        <v>791</v>
      </c>
      <c r="B367" s="183">
        <v>50000</v>
      </c>
      <c r="C367" s="160">
        <v>250</v>
      </c>
      <c r="D367" s="161">
        <f t="shared" si="13"/>
        <v>12500000</v>
      </c>
      <c r="E367" s="26"/>
      <c r="F367" s="26"/>
      <c r="G367" s="26"/>
      <c r="H367" s="89"/>
    </row>
    <row r="368" spans="1:8" s="1" customFormat="1" ht="20.25" customHeight="1">
      <c r="A368" s="27" t="s">
        <v>459</v>
      </c>
      <c r="B368" s="183">
        <v>80</v>
      </c>
      <c r="C368" s="160">
        <v>45</v>
      </c>
      <c r="D368" s="161">
        <f t="shared" si="13"/>
        <v>3600</v>
      </c>
      <c r="E368" s="26"/>
      <c r="F368" s="26"/>
      <c r="G368" s="26"/>
      <c r="H368" s="78"/>
    </row>
    <row r="369" spans="1:8" s="1" customFormat="1" ht="20.25" customHeight="1">
      <c r="A369" s="27" t="s">
        <v>460</v>
      </c>
      <c r="B369" s="183">
        <v>124</v>
      </c>
      <c r="C369" s="160">
        <v>50</v>
      </c>
      <c r="D369" s="161">
        <f t="shared" si="13"/>
        <v>6200</v>
      </c>
      <c r="E369" s="26"/>
      <c r="F369" s="26"/>
      <c r="G369" s="26"/>
      <c r="H369" s="78"/>
    </row>
    <row r="370" spans="1:8" s="1" customFormat="1" ht="20.25" customHeight="1">
      <c r="A370" s="27" t="s">
        <v>794</v>
      </c>
      <c r="B370" s="183">
        <v>100</v>
      </c>
      <c r="C370" s="160">
        <v>3800</v>
      </c>
      <c r="D370" s="161">
        <f t="shared" si="13"/>
        <v>380000</v>
      </c>
      <c r="E370" s="26"/>
      <c r="F370" s="26"/>
      <c r="G370" s="26"/>
      <c r="H370" s="78"/>
    </row>
    <row r="371" spans="1:8" s="1" customFormat="1" ht="20.25" customHeight="1">
      <c r="A371" s="27" t="s">
        <v>461</v>
      </c>
      <c r="B371" s="183">
        <v>100</v>
      </c>
      <c r="C371" s="160">
        <v>475</v>
      </c>
      <c r="D371" s="161">
        <f t="shared" si="13"/>
        <v>47500</v>
      </c>
      <c r="E371" s="26"/>
      <c r="F371" s="26"/>
      <c r="G371" s="26"/>
      <c r="H371" s="78"/>
    </row>
    <row r="372" spans="1:8" s="1" customFormat="1" ht="20.25" customHeight="1">
      <c r="A372" s="27" t="s">
        <v>462</v>
      </c>
      <c r="B372" s="183">
        <v>250</v>
      </c>
      <c r="C372" s="160">
        <v>182</v>
      </c>
      <c r="D372" s="161">
        <f t="shared" si="13"/>
        <v>45500</v>
      </c>
      <c r="E372" s="26"/>
      <c r="F372" s="26"/>
      <c r="G372" s="26"/>
      <c r="H372" s="78"/>
    </row>
    <row r="373" spans="1:8" s="1" customFormat="1" ht="20.25" customHeight="1">
      <c r="A373" s="27" t="s">
        <v>793</v>
      </c>
      <c r="B373" s="183">
        <v>500</v>
      </c>
      <c r="C373" s="160">
        <v>8760</v>
      </c>
      <c r="D373" s="161">
        <f t="shared" si="13"/>
        <v>4380000</v>
      </c>
      <c r="E373" s="26"/>
      <c r="F373" s="26"/>
      <c r="G373" s="26"/>
      <c r="H373" s="78"/>
    </row>
    <row r="374" spans="1:8" s="1" customFormat="1" ht="20.25" customHeight="1">
      <c r="A374" s="27" t="s">
        <v>792</v>
      </c>
      <c r="B374" s="183">
        <v>500</v>
      </c>
      <c r="C374" s="160">
        <v>9500</v>
      </c>
      <c r="D374" s="161">
        <f t="shared" si="13"/>
        <v>4750000</v>
      </c>
      <c r="E374" s="26"/>
      <c r="F374" s="26"/>
      <c r="G374" s="26"/>
      <c r="H374" s="78"/>
    </row>
    <row r="375" spans="1:8" s="1" customFormat="1" ht="28.5" customHeight="1">
      <c r="A375" s="182" t="s">
        <v>463</v>
      </c>
      <c r="B375" s="183"/>
      <c r="C375" s="160"/>
      <c r="D375" s="155">
        <f>SUM(D376:D421)</f>
        <v>55454110</v>
      </c>
      <c r="E375" s="26"/>
      <c r="F375" s="26"/>
      <c r="G375" s="26"/>
      <c r="H375" s="78"/>
    </row>
    <row r="376" spans="1:8" s="1" customFormat="1" ht="21" customHeight="1">
      <c r="A376" s="27" t="s">
        <v>464</v>
      </c>
      <c r="B376" s="183">
        <v>1000</v>
      </c>
      <c r="C376" s="160">
        <v>62</v>
      </c>
      <c r="D376" s="161">
        <f t="shared" ref="D376:D423" si="14">+C376*B376</f>
        <v>62000</v>
      </c>
      <c r="E376" s="26"/>
      <c r="F376" s="26"/>
      <c r="G376" s="26"/>
      <c r="H376" s="78"/>
    </row>
    <row r="377" spans="1:8" s="1" customFormat="1" ht="21" customHeight="1">
      <c r="A377" s="27" t="s">
        <v>465</v>
      </c>
      <c r="B377" s="183">
        <v>900</v>
      </c>
      <c r="C377" s="160">
        <v>175</v>
      </c>
      <c r="D377" s="161">
        <f t="shared" si="14"/>
        <v>157500</v>
      </c>
      <c r="E377" s="26"/>
      <c r="F377" s="26"/>
      <c r="G377" s="26"/>
      <c r="H377" s="78"/>
    </row>
    <row r="378" spans="1:8" s="1" customFormat="1" ht="21" customHeight="1">
      <c r="A378" s="3" t="s">
        <v>1002</v>
      </c>
      <c r="B378" s="183">
        <v>200</v>
      </c>
      <c r="C378" s="160">
        <v>200</v>
      </c>
      <c r="D378" s="161">
        <f t="shared" si="14"/>
        <v>40000</v>
      </c>
      <c r="E378" s="26"/>
      <c r="F378" s="26"/>
      <c r="G378" s="26"/>
      <c r="H378" s="78"/>
    </row>
    <row r="379" spans="1:8" s="1" customFormat="1" ht="21" customHeight="1">
      <c r="A379" s="27" t="s">
        <v>466</v>
      </c>
      <c r="B379" s="183">
        <v>1500</v>
      </c>
      <c r="C379" s="160">
        <v>144</v>
      </c>
      <c r="D379" s="161">
        <f t="shared" si="14"/>
        <v>216000</v>
      </c>
      <c r="E379" s="26"/>
      <c r="F379" s="26"/>
      <c r="G379" s="26"/>
      <c r="H379" s="78"/>
    </row>
    <row r="380" spans="1:8" s="1" customFormat="1" ht="21" customHeight="1">
      <c r="A380" s="27" t="s">
        <v>467</v>
      </c>
      <c r="B380" s="183">
        <v>4000</v>
      </c>
      <c r="C380" s="160">
        <v>105</v>
      </c>
      <c r="D380" s="161">
        <f t="shared" si="14"/>
        <v>420000</v>
      </c>
      <c r="E380" s="26"/>
      <c r="F380" s="26"/>
      <c r="G380" s="26"/>
      <c r="H380" s="78"/>
    </row>
    <row r="381" spans="1:8" s="1" customFormat="1" ht="21" customHeight="1">
      <c r="A381" s="27" t="s">
        <v>468</v>
      </c>
      <c r="B381" s="183">
        <v>130</v>
      </c>
      <c r="C381" s="160">
        <v>330</v>
      </c>
      <c r="D381" s="161">
        <f t="shared" si="14"/>
        <v>42900</v>
      </c>
      <c r="E381" s="26"/>
      <c r="F381" s="26"/>
      <c r="G381" s="26"/>
      <c r="H381" s="78"/>
    </row>
    <row r="382" spans="1:8" s="1" customFormat="1" ht="21" customHeight="1">
      <c r="A382" s="27" t="s">
        <v>469</v>
      </c>
      <c r="B382" s="183">
        <v>1000</v>
      </c>
      <c r="C382" s="160">
        <v>150</v>
      </c>
      <c r="D382" s="161">
        <f t="shared" si="14"/>
        <v>150000</v>
      </c>
      <c r="E382" s="26"/>
      <c r="F382" s="26"/>
      <c r="G382" s="26"/>
      <c r="H382" s="78"/>
    </row>
    <row r="383" spans="1:8" s="1" customFormat="1" ht="21" customHeight="1">
      <c r="A383" s="27" t="s">
        <v>470</v>
      </c>
      <c r="B383" s="183">
        <v>600</v>
      </c>
      <c r="C383" s="160">
        <v>200</v>
      </c>
      <c r="D383" s="161">
        <f t="shared" si="14"/>
        <v>120000</v>
      </c>
      <c r="E383" s="26"/>
      <c r="F383" s="26"/>
      <c r="G383" s="26"/>
      <c r="H383" s="78"/>
    </row>
    <row r="384" spans="1:8" s="1" customFormat="1" ht="21" customHeight="1">
      <c r="A384" s="27" t="s">
        <v>471</v>
      </c>
      <c r="B384" s="183">
        <v>1000</v>
      </c>
      <c r="C384" s="160">
        <v>350</v>
      </c>
      <c r="D384" s="161">
        <f t="shared" si="14"/>
        <v>350000</v>
      </c>
      <c r="E384" s="26"/>
      <c r="F384" s="26"/>
      <c r="G384" s="26"/>
      <c r="H384" s="78"/>
    </row>
    <row r="385" spans="1:8" s="1" customFormat="1" ht="21" customHeight="1">
      <c r="A385" s="27" t="s">
        <v>472</v>
      </c>
      <c r="B385" s="183">
        <v>300</v>
      </c>
      <c r="C385" s="160">
        <v>115</v>
      </c>
      <c r="D385" s="161">
        <f t="shared" si="14"/>
        <v>34500</v>
      </c>
      <c r="E385" s="26"/>
      <c r="F385" s="26"/>
      <c r="G385" s="26"/>
      <c r="H385" s="78"/>
    </row>
    <row r="386" spans="1:8" s="1" customFormat="1" ht="21" customHeight="1">
      <c r="A386" s="27" t="s">
        <v>473</v>
      </c>
      <c r="B386" s="183">
        <v>150</v>
      </c>
      <c r="C386" s="160">
        <v>190</v>
      </c>
      <c r="D386" s="161">
        <f t="shared" si="14"/>
        <v>28500</v>
      </c>
      <c r="E386" s="26"/>
      <c r="F386" s="26"/>
      <c r="G386" s="26"/>
      <c r="H386" s="78"/>
    </row>
    <row r="387" spans="1:8" s="1" customFormat="1" ht="21" customHeight="1">
      <c r="A387" s="27" t="s">
        <v>474</v>
      </c>
      <c r="B387" s="183">
        <v>800</v>
      </c>
      <c r="C387" s="160">
        <v>35</v>
      </c>
      <c r="D387" s="161">
        <f t="shared" si="14"/>
        <v>28000</v>
      </c>
      <c r="E387" s="26"/>
      <c r="F387" s="26"/>
      <c r="G387" s="26"/>
      <c r="H387" s="78"/>
    </row>
    <row r="388" spans="1:8" s="1" customFormat="1" ht="21" customHeight="1">
      <c r="A388" s="27" t="s">
        <v>475</v>
      </c>
      <c r="B388" s="183">
        <v>120</v>
      </c>
      <c r="C388" s="160">
        <v>4378</v>
      </c>
      <c r="D388" s="161">
        <f t="shared" si="14"/>
        <v>525360</v>
      </c>
      <c r="E388" s="26"/>
      <c r="F388" s="26"/>
      <c r="G388" s="26"/>
      <c r="H388" s="78"/>
    </row>
    <row r="389" spans="1:8" s="1" customFormat="1" ht="21" customHeight="1">
      <c r="A389" s="27" t="s">
        <v>476</v>
      </c>
      <c r="B389" s="183">
        <v>300</v>
      </c>
      <c r="C389" s="160">
        <v>8780</v>
      </c>
      <c r="D389" s="161">
        <f t="shared" si="14"/>
        <v>2634000</v>
      </c>
      <c r="E389" s="26"/>
      <c r="F389" s="26"/>
      <c r="G389" s="26"/>
      <c r="H389" s="78"/>
    </row>
    <row r="390" spans="1:8" s="1" customFormat="1" ht="21" customHeight="1">
      <c r="A390" s="27" t="s">
        <v>477</v>
      </c>
      <c r="B390" s="183">
        <v>7000</v>
      </c>
      <c r="C390" s="160">
        <v>1763</v>
      </c>
      <c r="D390" s="161">
        <f t="shared" si="14"/>
        <v>12341000</v>
      </c>
      <c r="E390" s="26"/>
      <c r="F390" s="26"/>
      <c r="G390" s="26"/>
      <c r="H390" s="78"/>
    </row>
    <row r="391" spans="1:8" s="1" customFormat="1" ht="21" customHeight="1">
      <c r="A391" s="27" t="s">
        <v>478</v>
      </c>
      <c r="B391" s="183">
        <v>1000</v>
      </c>
      <c r="C391" s="160">
        <v>100</v>
      </c>
      <c r="D391" s="161">
        <f t="shared" si="14"/>
        <v>100000</v>
      </c>
      <c r="E391" s="26"/>
      <c r="F391" s="26"/>
      <c r="G391" s="26"/>
      <c r="H391" s="78"/>
    </row>
    <row r="392" spans="1:8" s="1" customFormat="1" ht="21" customHeight="1">
      <c r="A392" s="27" t="s">
        <v>479</v>
      </c>
      <c r="B392" s="183">
        <v>1500</v>
      </c>
      <c r="C392" s="160">
        <v>673</v>
      </c>
      <c r="D392" s="161">
        <f t="shared" si="14"/>
        <v>1009500</v>
      </c>
      <c r="E392" s="26"/>
      <c r="F392" s="26"/>
      <c r="G392" s="26"/>
      <c r="H392" s="78"/>
    </row>
    <row r="393" spans="1:8" s="1" customFormat="1" ht="21" customHeight="1">
      <c r="A393" s="27" t="s">
        <v>480</v>
      </c>
      <c r="B393" s="183">
        <v>2000</v>
      </c>
      <c r="C393" s="160">
        <v>100</v>
      </c>
      <c r="D393" s="161">
        <f t="shared" si="14"/>
        <v>200000</v>
      </c>
      <c r="E393" s="26"/>
      <c r="F393" s="26"/>
      <c r="G393" s="26"/>
      <c r="H393" s="78"/>
    </row>
    <row r="394" spans="1:8" s="1" customFormat="1" ht="21" customHeight="1">
      <c r="A394" s="27" t="s">
        <v>481</v>
      </c>
      <c r="B394" s="183">
        <v>1000</v>
      </c>
      <c r="C394" s="160">
        <v>325</v>
      </c>
      <c r="D394" s="161">
        <f t="shared" si="14"/>
        <v>325000</v>
      </c>
      <c r="E394" s="26"/>
      <c r="F394" s="26"/>
      <c r="G394" s="26"/>
      <c r="H394" s="78"/>
    </row>
    <row r="395" spans="1:8" s="1" customFormat="1" ht="21" customHeight="1">
      <c r="A395" s="27" t="s">
        <v>482</v>
      </c>
      <c r="B395" s="183">
        <v>2000</v>
      </c>
      <c r="C395" s="160">
        <v>173</v>
      </c>
      <c r="D395" s="161">
        <f t="shared" si="14"/>
        <v>346000</v>
      </c>
      <c r="E395" s="26"/>
      <c r="F395" s="26"/>
      <c r="G395" s="26"/>
      <c r="H395" s="78"/>
    </row>
    <row r="396" spans="1:8" s="1" customFormat="1" ht="21" customHeight="1">
      <c r="A396" s="27" t="s">
        <v>483</v>
      </c>
      <c r="B396" s="183">
        <v>11000</v>
      </c>
      <c r="C396" s="160">
        <v>1027</v>
      </c>
      <c r="D396" s="161">
        <f t="shared" si="14"/>
        <v>11297000</v>
      </c>
      <c r="E396" s="26"/>
      <c r="F396" s="26"/>
      <c r="G396" s="26"/>
      <c r="H396" s="78"/>
    </row>
    <row r="397" spans="1:8" s="1" customFormat="1" ht="21" customHeight="1">
      <c r="A397" s="27" t="s">
        <v>484</v>
      </c>
      <c r="B397" s="183">
        <v>1200</v>
      </c>
      <c r="C397" s="160">
        <v>150</v>
      </c>
      <c r="D397" s="161">
        <f t="shared" si="14"/>
        <v>180000</v>
      </c>
      <c r="E397" s="26"/>
      <c r="F397" s="26"/>
      <c r="G397" s="26"/>
      <c r="H397" s="78"/>
    </row>
    <row r="398" spans="1:8" s="1" customFormat="1" ht="21" customHeight="1">
      <c r="A398" s="27" t="s">
        <v>485</v>
      </c>
      <c r="B398" s="183">
        <v>750</v>
      </c>
      <c r="C398" s="160">
        <v>109</v>
      </c>
      <c r="D398" s="161">
        <f t="shared" si="14"/>
        <v>81750</v>
      </c>
      <c r="E398" s="26"/>
      <c r="F398" s="26"/>
      <c r="G398" s="26"/>
      <c r="H398" s="78"/>
    </row>
    <row r="399" spans="1:8" s="1" customFormat="1" ht="21" customHeight="1">
      <c r="A399" s="27" t="s">
        <v>486</v>
      </c>
      <c r="B399" s="183">
        <v>60</v>
      </c>
      <c r="C399" s="160">
        <v>315</v>
      </c>
      <c r="D399" s="161">
        <f t="shared" si="14"/>
        <v>18900</v>
      </c>
      <c r="E399" s="26"/>
      <c r="F399" s="26"/>
      <c r="G399" s="26"/>
      <c r="H399" s="78"/>
    </row>
    <row r="400" spans="1:8" s="1" customFormat="1" ht="21" customHeight="1">
      <c r="A400" s="27" t="s">
        <v>487</v>
      </c>
      <c r="B400" s="183">
        <v>130</v>
      </c>
      <c r="C400" s="160">
        <v>250</v>
      </c>
      <c r="D400" s="161">
        <f t="shared" si="14"/>
        <v>32500</v>
      </c>
      <c r="E400" s="26"/>
      <c r="F400" s="26"/>
      <c r="G400" s="26"/>
      <c r="H400" s="78"/>
    </row>
    <row r="401" spans="1:8" s="1" customFormat="1" ht="21" customHeight="1">
      <c r="A401" s="27" t="s">
        <v>488</v>
      </c>
      <c r="B401" s="183">
        <v>50</v>
      </c>
      <c r="C401" s="160">
        <v>3237</v>
      </c>
      <c r="D401" s="161">
        <f t="shared" si="14"/>
        <v>161850</v>
      </c>
      <c r="E401" s="26"/>
      <c r="F401" s="26"/>
      <c r="G401" s="26"/>
      <c r="H401" s="78"/>
    </row>
    <row r="402" spans="1:8" s="1" customFormat="1" ht="21" customHeight="1">
      <c r="A402" s="27" t="s">
        <v>489</v>
      </c>
      <c r="B402" s="183">
        <v>50</v>
      </c>
      <c r="C402" s="160">
        <v>2587</v>
      </c>
      <c r="D402" s="161">
        <f t="shared" si="14"/>
        <v>129350</v>
      </c>
      <c r="E402" s="26"/>
      <c r="F402" s="26"/>
      <c r="G402" s="26"/>
      <c r="H402" s="78"/>
    </row>
    <row r="403" spans="1:8" s="1" customFormat="1" ht="21" customHeight="1">
      <c r="A403" s="27" t="s">
        <v>795</v>
      </c>
      <c r="B403" s="183">
        <v>3000</v>
      </c>
      <c r="C403" s="160">
        <v>70</v>
      </c>
      <c r="D403" s="161">
        <f t="shared" si="14"/>
        <v>210000</v>
      </c>
      <c r="E403" s="26"/>
      <c r="F403" s="26"/>
      <c r="G403" s="26"/>
      <c r="H403" s="78"/>
    </row>
    <row r="404" spans="1:8" s="1" customFormat="1" ht="21" customHeight="1">
      <c r="A404" s="27" t="s">
        <v>490</v>
      </c>
      <c r="B404" s="183">
        <v>3000</v>
      </c>
      <c r="C404" s="160">
        <v>80</v>
      </c>
      <c r="D404" s="161">
        <f t="shared" si="14"/>
        <v>240000</v>
      </c>
      <c r="E404" s="26"/>
      <c r="F404" s="26"/>
      <c r="G404" s="26"/>
      <c r="H404" s="78"/>
    </row>
    <row r="405" spans="1:8" s="1" customFormat="1" ht="21" customHeight="1">
      <c r="A405" s="27" t="s">
        <v>491</v>
      </c>
      <c r="B405" s="183">
        <v>350</v>
      </c>
      <c r="C405" s="160">
        <v>170</v>
      </c>
      <c r="D405" s="161">
        <f t="shared" si="14"/>
        <v>59500</v>
      </c>
      <c r="E405" s="26"/>
      <c r="F405" s="26"/>
      <c r="G405" s="26"/>
      <c r="H405" s="78"/>
    </row>
    <row r="406" spans="1:8" s="1" customFormat="1" ht="21" customHeight="1">
      <c r="A406" s="27" t="s">
        <v>796</v>
      </c>
      <c r="B406" s="183">
        <v>2000</v>
      </c>
      <c r="C406" s="160">
        <v>100</v>
      </c>
      <c r="D406" s="161">
        <f t="shared" si="14"/>
        <v>200000</v>
      </c>
      <c r="E406" s="26"/>
      <c r="F406" s="26"/>
      <c r="G406" s="26"/>
      <c r="H406" s="78"/>
    </row>
    <row r="407" spans="1:8" s="1" customFormat="1" ht="21" customHeight="1">
      <c r="A407" s="27" t="s">
        <v>492</v>
      </c>
      <c r="B407" s="183">
        <v>200</v>
      </c>
      <c r="C407" s="160">
        <v>3500</v>
      </c>
      <c r="D407" s="161">
        <f t="shared" si="14"/>
        <v>700000</v>
      </c>
      <c r="E407" s="26"/>
      <c r="F407" s="26"/>
      <c r="G407" s="26"/>
      <c r="H407" s="78"/>
    </row>
    <row r="408" spans="1:8" s="1" customFormat="1" ht="21" customHeight="1">
      <c r="A408" s="27" t="s">
        <v>493</v>
      </c>
      <c r="B408" s="183">
        <v>50</v>
      </c>
      <c r="C408" s="160">
        <v>370</v>
      </c>
      <c r="D408" s="161">
        <f t="shared" si="14"/>
        <v>18500</v>
      </c>
      <c r="E408" s="26"/>
      <c r="F408" s="26"/>
      <c r="G408" s="26"/>
      <c r="H408" s="78"/>
    </row>
    <row r="409" spans="1:8" s="1" customFormat="1" ht="21" customHeight="1">
      <c r="A409" s="27" t="s">
        <v>494</v>
      </c>
      <c r="B409" s="183">
        <v>40</v>
      </c>
      <c r="C409" s="160">
        <v>70</v>
      </c>
      <c r="D409" s="161">
        <f t="shared" si="14"/>
        <v>2800</v>
      </c>
      <c r="E409" s="26"/>
      <c r="F409" s="26"/>
      <c r="G409" s="26"/>
      <c r="H409" s="78"/>
    </row>
    <row r="410" spans="1:8" s="1" customFormat="1" ht="21" customHeight="1">
      <c r="A410" s="27" t="s">
        <v>513</v>
      </c>
      <c r="B410" s="183">
        <v>400</v>
      </c>
      <c r="C410" s="160">
        <v>673</v>
      </c>
      <c r="D410" s="161">
        <f t="shared" si="14"/>
        <v>269200</v>
      </c>
      <c r="E410" s="26"/>
      <c r="F410" s="26"/>
      <c r="G410" s="26"/>
      <c r="H410" s="78"/>
    </row>
    <row r="411" spans="1:8" s="1" customFormat="1" ht="21" customHeight="1">
      <c r="A411" s="27" t="s">
        <v>495</v>
      </c>
      <c r="B411" s="183">
        <v>100</v>
      </c>
      <c r="C411" s="160">
        <v>275</v>
      </c>
      <c r="D411" s="161">
        <f t="shared" si="14"/>
        <v>27500</v>
      </c>
      <c r="E411" s="26"/>
      <c r="F411" s="26"/>
      <c r="G411" s="26"/>
      <c r="H411" s="78"/>
    </row>
    <row r="412" spans="1:8" s="1" customFormat="1" ht="21" customHeight="1">
      <c r="A412" s="27" t="s">
        <v>797</v>
      </c>
      <c r="B412" s="183">
        <v>250</v>
      </c>
      <c r="C412" s="160">
        <v>100</v>
      </c>
      <c r="D412" s="161">
        <f t="shared" si="14"/>
        <v>25000</v>
      </c>
      <c r="E412" s="26"/>
      <c r="F412" s="26"/>
      <c r="G412" s="26"/>
      <c r="H412" s="78"/>
    </row>
    <row r="413" spans="1:8" s="1" customFormat="1" ht="21" customHeight="1">
      <c r="A413" s="3" t="s">
        <v>324</v>
      </c>
      <c r="B413" s="159">
        <v>1</v>
      </c>
      <c r="C413" s="4">
        <v>200000</v>
      </c>
      <c r="D413" s="161">
        <f t="shared" si="14"/>
        <v>200000</v>
      </c>
      <c r="E413" s="26"/>
      <c r="F413" s="26"/>
      <c r="G413" s="26"/>
      <c r="H413" s="78" t="s">
        <v>614</v>
      </c>
    </row>
    <row r="414" spans="1:8" s="1" customFormat="1" ht="21" customHeight="1">
      <c r="A414" s="27" t="s">
        <v>496</v>
      </c>
      <c r="B414" s="168">
        <v>2500</v>
      </c>
      <c r="C414" s="160">
        <v>1950</v>
      </c>
      <c r="D414" s="161">
        <f t="shared" si="14"/>
        <v>4875000</v>
      </c>
      <c r="E414" s="26"/>
      <c r="F414" s="26"/>
      <c r="G414" s="26"/>
      <c r="H414" s="78"/>
    </row>
    <row r="415" spans="1:8" s="1" customFormat="1" ht="21" customHeight="1">
      <c r="A415" s="27" t="s">
        <v>497</v>
      </c>
      <c r="B415" s="168">
        <v>2500</v>
      </c>
      <c r="C415" s="160">
        <v>245</v>
      </c>
      <c r="D415" s="161">
        <f t="shared" si="14"/>
        <v>612500</v>
      </c>
      <c r="E415" s="26"/>
      <c r="F415" s="26"/>
      <c r="G415" s="26"/>
      <c r="H415" s="78"/>
    </row>
    <row r="416" spans="1:8" s="1" customFormat="1" ht="21" customHeight="1">
      <c r="A416" s="27" t="s">
        <v>498</v>
      </c>
      <c r="B416" s="168">
        <v>2500</v>
      </c>
      <c r="C416" s="160">
        <v>630</v>
      </c>
      <c r="D416" s="161">
        <f t="shared" si="14"/>
        <v>1575000</v>
      </c>
      <c r="E416" s="26"/>
      <c r="F416" s="26"/>
      <c r="G416" s="26"/>
      <c r="H416" s="78"/>
    </row>
    <row r="417" spans="1:8" s="1" customFormat="1" ht="21" customHeight="1">
      <c r="A417" s="27" t="s">
        <v>499</v>
      </c>
      <c r="B417" s="168">
        <v>2500</v>
      </c>
      <c r="C417" s="160">
        <v>630</v>
      </c>
      <c r="D417" s="161">
        <f t="shared" si="14"/>
        <v>1575000</v>
      </c>
      <c r="E417" s="26"/>
      <c r="F417" s="26"/>
      <c r="G417" s="26"/>
      <c r="H417" s="78"/>
    </row>
    <row r="418" spans="1:8" s="1" customFormat="1" ht="21" customHeight="1">
      <c r="A418" s="27" t="s">
        <v>85</v>
      </c>
      <c r="B418" s="168">
        <v>2500</v>
      </c>
      <c r="C418" s="160">
        <v>2452</v>
      </c>
      <c r="D418" s="161">
        <f t="shared" si="14"/>
        <v>6130000</v>
      </c>
      <c r="E418" s="26"/>
      <c r="F418" s="26"/>
      <c r="G418" s="26"/>
      <c r="H418" s="78"/>
    </row>
    <row r="419" spans="1:8" s="1" customFormat="1" ht="21" customHeight="1">
      <c r="A419" s="27" t="s">
        <v>500</v>
      </c>
      <c r="B419" s="168">
        <v>2500</v>
      </c>
      <c r="C419" s="160">
        <v>385</v>
      </c>
      <c r="D419" s="161">
        <f t="shared" si="14"/>
        <v>962500</v>
      </c>
      <c r="E419" s="26"/>
      <c r="F419" s="26"/>
      <c r="G419" s="26"/>
      <c r="H419" s="78"/>
    </row>
    <row r="420" spans="1:8" s="1" customFormat="1" ht="21" customHeight="1">
      <c r="A420" s="27" t="s">
        <v>798</v>
      </c>
      <c r="B420" s="168">
        <v>200</v>
      </c>
      <c r="C420" s="160">
        <v>9100</v>
      </c>
      <c r="D420" s="161">
        <f t="shared" si="14"/>
        <v>1820000</v>
      </c>
      <c r="E420" s="26"/>
      <c r="F420" s="26"/>
      <c r="G420" s="26"/>
      <c r="H420" s="78"/>
    </row>
    <row r="421" spans="1:8" s="2" customFormat="1" ht="21.75" customHeight="1">
      <c r="A421" s="3" t="s">
        <v>501</v>
      </c>
      <c r="B421" s="167">
        <v>6000</v>
      </c>
      <c r="C421" s="4">
        <v>820</v>
      </c>
      <c r="D421" s="161">
        <f t="shared" si="14"/>
        <v>4920000</v>
      </c>
      <c r="E421" s="26"/>
      <c r="F421" s="26"/>
      <c r="G421" s="26"/>
      <c r="H421" s="78"/>
    </row>
    <row r="422" spans="1:8" s="2" customFormat="1" ht="21.75" customHeight="1">
      <c r="A422" s="3" t="s">
        <v>799</v>
      </c>
      <c r="B422" s="167">
        <v>200</v>
      </c>
      <c r="C422" s="4">
        <v>6500</v>
      </c>
      <c r="D422" s="161">
        <f t="shared" si="14"/>
        <v>1300000</v>
      </c>
      <c r="E422" s="26"/>
      <c r="F422" s="26"/>
      <c r="G422" s="26"/>
      <c r="H422" s="78"/>
    </row>
    <row r="423" spans="1:8" s="2" customFormat="1" ht="21.75" customHeight="1">
      <c r="A423" s="3" t="s">
        <v>800</v>
      </c>
      <c r="B423" s="167">
        <v>200</v>
      </c>
      <c r="C423" s="4">
        <v>4500</v>
      </c>
      <c r="D423" s="161">
        <f t="shared" si="14"/>
        <v>900000</v>
      </c>
      <c r="E423" s="26"/>
      <c r="F423" s="26"/>
      <c r="G423" s="26"/>
      <c r="H423" s="78"/>
    </row>
    <row r="424" spans="1:8" ht="31.2">
      <c r="A424" s="195" t="s">
        <v>801</v>
      </c>
      <c r="B424" s="195"/>
      <c r="C424" s="195"/>
      <c r="D424" s="198">
        <f>+D425+D469</f>
        <v>286348507.37</v>
      </c>
      <c r="E424" s="197" t="s">
        <v>617</v>
      </c>
      <c r="F424" s="195"/>
      <c r="G424" s="197" t="s">
        <v>832</v>
      </c>
      <c r="H424" s="61"/>
    </row>
    <row r="425" spans="1:8" s="2" customFormat="1" ht="46.8">
      <c r="A425" s="176" t="s">
        <v>802</v>
      </c>
      <c r="B425" s="154"/>
      <c r="C425" s="155"/>
      <c r="D425" s="155">
        <f>+SUM(D426:D466)</f>
        <v>125999.37</v>
      </c>
      <c r="E425" s="26"/>
      <c r="F425" s="157"/>
      <c r="G425" s="157"/>
      <c r="H425" s="73"/>
    </row>
    <row r="426" spans="1:8" s="1" customFormat="1" ht="21" customHeight="1">
      <c r="A426" s="27" t="s">
        <v>255</v>
      </c>
      <c r="B426" s="168">
        <v>6</v>
      </c>
      <c r="C426" s="160">
        <v>560</v>
      </c>
      <c r="D426" s="161">
        <f t="shared" ref="D426:D468" si="15">+C426*B426</f>
        <v>3360</v>
      </c>
      <c r="E426" s="26"/>
      <c r="F426" s="26"/>
      <c r="G426" s="26"/>
      <c r="H426" s="78"/>
    </row>
    <row r="427" spans="1:8" s="1" customFormat="1" ht="21" customHeight="1">
      <c r="A427" s="27" t="s">
        <v>256</v>
      </c>
      <c r="B427" s="168">
        <v>4</v>
      </c>
      <c r="C427" s="160">
        <v>2747</v>
      </c>
      <c r="D427" s="161">
        <f t="shared" si="15"/>
        <v>10988</v>
      </c>
      <c r="E427" s="26"/>
      <c r="F427" s="26"/>
      <c r="G427" s="26"/>
      <c r="H427" s="78"/>
    </row>
    <row r="428" spans="1:8" s="1" customFormat="1" ht="21" customHeight="1">
      <c r="A428" s="27" t="s">
        <v>257</v>
      </c>
      <c r="B428" s="168">
        <v>4</v>
      </c>
      <c r="C428" s="160">
        <v>5300</v>
      </c>
      <c r="D428" s="161">
        <f t="shared" si="15"/>
        <v>21200</v>
      </c>
      <c r="E428" s="26"/>
      <c r="F428" s="26"/>
      <c r="G428" s="26"/>
      <c r="H428" s="78"/>
    </row>
    <row r="429" spans="1:8" s="1" customFormat="1" ht="21" customHeight="1">
      <c r="A429" s="27" t="s">
        <v>258</v>
      </c>
      <c r="B429" s="168">
        <v>2</v>
      </c>
      <c r="C429" s="160">
        <v>4800</v>
      </c>
      <c r="D429" s="161">
        <f t="shared" si="15"/>
        <v>9600</v>
      </c>
      <c r="E429" s="26"/>
      <c r="F429" s="26"/>
      <c r="G429" s="26"/>
      <c r="H429" s="78"/>
    </row>
    <row r="430" spans="1:8" s="1" customFormat="1" ht="21" customHeight="1">
      <c r="A430" s="3" t="s">
        <v>259</v>
      </c>
      <c r="B430" s="167">
        <v>4</v>
      </c>
      <c r="C430" s="4">
        <v>750</v>
      </c>
      <c r="D430" s="161">
        <f t="shared" si="15"/>
        <v>3000</v>
      </c>
      <c r="E430" s="26"/>
      <c r="F430" s="26"/>
      <c r="G430" s="26"/>
      <c r="H430" s="78"/>
    </row>
    <row r="431" spans="1:8" s="1" customFormat="1" ht="21" customHeight="1">
      <c r="A431" s="3" t="s">
        <v>260</v>
      </c>
      <c r="B431" s="167">
        <v>4</v>
      </c>
      <c r="C431" s="4">
        <v>500</v>
      </c>
      <c r="D431" s="161">
        <f t="shared" si="15"/>
        <v>2000</v>
      </c>
      <c r="E431" s="26"/>
      <c r="F431" s="26"/>
      <c r="G431" s="26"/>
      <c r="H431" s="78"/>
    </row>
    <row r="432" spans="1:8" s="1" customFormat="1" ht="21" customHeight="1">
      <c r="A432" s="27" t="s">
        <v>261</v>
      </c>
      <c r="B432" s="168">
        <v>10</v>
      </c>
      <c r="C432" s="160">
        <v>280</v>
      </c>
      <c r="D432" s="161">
        <f t="shared" si="15"/>
        <v>2800</v>
      </c>
      <c r="E432" s="26"/>
      <c r="F432" s="26"/>
      <c r="G432" s="26"/>
      <c r="H432" s="78"/>
    </row>
    <row r="433" spans="1:8" s="1" customFormat="1" ht="21" customHeight="1">
      <c r="A433" s="27" t="s">
        <v>262</v>
      </c>
      <c r="B433" s="168">
        <v>4</v>
      </c>
      <c r="C433" s="160">
        <v>165</v>
      </c>
      <c r="D433" s="161">
        <f t="shared" si="15"/>
        <v>660</v>
      </c>
      <c r="E433" s="26"/>
      <c r="F433" s="26"/>
      <c r="G433" s="26"/>
      <c r="H433" s="78"/>
    </row>
    <row r="434" spans="1:8" s="1" customFormat="1" ht="21" customHeight="1">
      <c r="A434" s="27" t="s">
        <v>263</v>
      </c>
      <c r="B434" s="168">
        <v>4</v>
      </c>
      <c r="C434" s="160">
        <v>800</v>
      </c>
      <c r="D434" s="161">
        <f t="shared" si="15"/>
        <v>3200</v>
      </c>
      <c r="E434" s="26"/>
      <c r="F434" s="26"/>
      <c r="G434" s="26"/>
      <c r="H434" s="78"/>
    </row>
    <row r="435" spans="1:8" s="1" customFormat="1" ht="21" customHeight="1">
      <c r="A435" s="27" t="s">
        <v>264</v>
      </c>
      <c r="B435" s="168">
        <v>2</v>
      </c>
      <c r="C435" s="160">
        <v>1200</v>
      </c>
      <c r="D435" s="161">
        <f t="shared" si="15"/>
        <v>2400</v>
      </c>
      <c r="E435" s="26"/>
      <c r="F435" s="26"/>
      <c r="G435" s="26"/>
      <c r="H435" s="78"/>
    </row>
    <row r="436" spans="1:8" s="1" customFormat="1" ht="21" customHeight="1">
      <c r="A436" s="27" t="s">
        <v>265</v>
      </c>
      <c r="B436" s="168">
        <v>2</v>
      </c>
      <c r="C436" s="160">
        <v>1500</v>
      </c>
      <c r="D436" s="161">
        <f t="shared" si="15"/>
        <v>3000</v>
      </c>
      <c r="E436" s="26"/>
      <c r="F436" s="26"/>
      <c r="G436" s="26"/>
      <c r="H436" s="78"/>
    </row>
    <row r="437" spans="1:8" s="1" customFormat="1" ht="21" customHeight="1">
      <c r="A437" s="27" t="s">
        <v>266</v>
      </c>
      <c r="B437" s="168">
        <v>5</v>
      </c>
      <c r="C437" s="160">
        <v>370</v>
      </c>
      <c r="D437" s="161">
        <f t="shared" si="15"/>
        <v>1850</v>
      </c>
      <c r="E437" s="26"/>
      <c r="F437" s="26"/>
      <c r="G437" s="26"/>
      <c r="H437" s="78"/>
    </row>
    <row r="438" spans="1:8" s="1" customFormat="1" ht="21" customHeight="1">
      <c r="A438" s="27" t="s">
        <v>267</v>
      </c>
      <c r="B438" s="168">
        <v>5</v>
      </c>
      <c r="C438" s="160">
        <v>370</v>
      </c>
      <c r="D438" s="161">
        <f t="shared" si="15"/>
        <v>1850</v>
      </c>
      <c r="E438" s="26"/>
      <c r="F438" s="26"/>
      <c r="G438" s="26"/>
      <c r="H438" s="78"/>
    </row>
    <row r="439" spans="1:8" s="1" customFormat="1" ht="21" customHeight="1">
      <c r="A439" s="27" t="s">
        <v>268</v>
      </c>
      <c r="B439" s="168">
        <v>3</v>
      </c>
      <c r="C439" s="160">
        <v>866.31</v>
      </c>
      <c r="D439" s="161">
        <f t="shared" si="15"/>
        <v>2598.9299999999998</v>
      </c>
      <c r="E439" s="26"/>
      <c r="F439" s="26"/>
      <c r="G439" s="26"/>
      <c r="H439" s="78"/>
    </row>
    <row r="440" spans="1:8" s="1" customFormat="1" ht="21" customHeight="1">
      <c r="A440" s="27" t="s">
        <v>269</v>
      </c>
      <c r="B440" s="168">
        <v>3</v>
      </c>
      <c r="C440" s="160">
        <v>239.61</v>
      </c>
      <c r="D440" s="161">
        <f t="shared" si="15"/>
        <v>718.83</v>
      </c>
      <c r="E440" s="26"/>
      <c r="F440" s="26"/>
      <c r="G440" s="26"/>
      <c r="H440" s="78"/>
    </row>
    <row r="441" spans="1:8" s="1" customFormat="1" ht="21" customHeight="1">
      <c r="A441" s="27" t="s">
        <v>270</v>
      </c>
      <c r="B441" s="168">
        <v>5</v>
      </c>
      <c r="C441" s="160">
        <v>319.49</v>
      </c>
      <c r="D441" s="161">
        <f t="shared" si="15"/>
        <v>1597.45</v>
      </c>
      <c r="E441" s="26"/>
      <c r="F441" s="26"/>
      <c r="G441" s="26"/>
      <c r="H441" s="78"/>
    </row>
    <row r="442" spans="1:8" s="1" customFormat="1" ht="21" customHeight="1">
      <c r="A442" s="27" t="s">
        <v>271</v>
      </c>
      <c r="B442" s="168">
        <v>5</v>
      </c>
      <c r="C442" s="160">
        <v>319.49</v>
      </c>
      <c r="D442" s="161">
        <f t="shared" si="15"/>
        <v>1597.45</v>
      </c>
      <c r="E442" s="26"/>
      <c r="F442" s="26"/>
      <c r="G442" s="26"/>
      <c r="H442" s="78"/>
    </row>
    <row r="443" spans="1:8" s="1" customFormat="1" ht="21" customHeight="1">
      <c r="A443" s="27" t="s">
        <v>272</v>
      </c>
      <c r="B443" s="168">
        <v>8</v>
      </c>
      <c r="C443" s="160">
        <v>301.06</v>
      </c>
      <c r="D443" s="161">
        <f t="shared" si="15"/>
        <v>2408.48</v>
      </c>
      <c r="E443" s="26"/>
      <c r="F443" s="26"/>
      <c r="G443" s="26"/>
      <c r="H443" s="78"/>
    </row>
    <row r="444" spans="1:8" s="1" customFormat="1" ht="21" customHeight="1">
      <c r="A444" s="27" t="s">
        <v>273</v>
      </c>
      <c r="B444" s="168">
        <v>10</v>
      </c>
      <c r="C444" s="160">
        <v>509.95</v>
      </c>
      <c r="D444" s="161">
        <f t="shared" si="15"/>
        <v>5099.5</v>
      </c>
      <c r="E444" s="26"/>
      <c r="F444" s="26"/>
      <c r="G444" s="26"/>
      <c r="H444" s="78"/>
    </row>
    <row r="445" spans="1:8" s="1" customFormat="1" ht="21" customHeight="1">
      <c r="A445" s="27" t="s">
        <v>274</v>
      </c>
      <c r="B445" s="168">
        <v>10</v>
      </c>
      <c r="C445" s="160">
        <v>239.61</v>
      </c>
      <c r="D445" s="161">
        <f t="shared" si="15"/>
        <v>2396.1000000000004</v>
      </c>
      <c r="E445" s="26"/>
      <c r="F445" s="26"/>
      <c r="G445" s="26"/>
      <c r="H445" s="78"/>
    </row>
    <row r="446" spans="1:8" s="1" customFormat="1" ht="21" customHeight="1">
      <c r="A446" s="27" t="s">
        <v>275</v>
      </c>
      <c r="B446" s="168">
        <v>3</v>
      </c>
      <c r="C446" s="160">
        <v>491.52</v>
      </c>
      <c r="D446" s="161">
        <f t="shared" si="15"/>
        <v>1474.56</v>
      </c>
      <c r="E446" s="26"/>
      <c r="F446" s="26"/>
      <c r="G446" s="26"/>
      <c r="H446" s="78"/>
    </row>
    <row r="447" spans="1:8" s="1" customFormat="1" ht="21" customHeight="1">
      <c r="A447" s="27" t="s">
        <v>276</v>
      </c>
      <c r="B447" s="168">
        <v>3</v>
      </c>
      <c r="C447" s="160">
        <v>890.9</v>
      </c>
      <c r="D447" s="161">
        <f t="shared" si="15"/>
        <v>2672.7</v>
      </c>
      <c r="E447" s="26"/>
      <c r="F447" s="26"/>
      <c r="G447" s="26"/>
      <c r="H447" s="78"/>
    </row>
    <row r="448" spans="1:8" s="1" customFormat="1" ht="21" customHeight="1">
      <c r="A448" s="27" t="s">
        <v>277</v>
      </c>
      <c r="B448" s="168">
        <v>3</v>
      </c>
      <c r="C448" s="160">
        <v>1062.92</v>
      </c>
      <c r="D448" s="161">
        <f t="shared" si="15"/>
        <v>3188.76</v>
      </c>
      <c r="E448" s="26"/>
      <c r="F448" s="26"/>
      <c r="G448" s="26"/>
      <c r="H448" s="78"/>
    </row>
    <row r="449" spans="1:8" s="1" customFormat="1" ht="21" customHeight="1">
      <c r="A449" s="27" t="s">
        <v>278</v>
      </c>
      <c r="B449" s="168">
        <v>3</v>
      </c>
      <c r="C449" s="160">
        <v>1800.22</v>
      </c>
      <c r="D449" s="161">
        <f t="shared" si="15"/>
        <v>5400.66</v>
      </c>
      <c r="E449" s="26"/>
      <c r="F449" s="26"/>
      <c r="G449" s="26"/>
      <c r="H449" s="78"/>
    </row>
    <row r="450" spans="1:8" s="1" customFormat="1" ht="21" customHeight="1">
      <c r="A450" s="27" t="s">
        <v>279</v>
      </c>
      <c r="B450" s="168">
        <v>3</v>
      </c>
      <c r="C450" s="160">
        <v>239.61</v>
      </c>
      <c r="D450" s="161">
        <f t="shared" si="15"/>
        <v>718.83</v>
      </c>
      <c r="E450" s="26"/>
      <c r="F450" s="26"/>
      <c r="G450" s="26"/>
      <c r="H450" s="78"/>
    </row>
    <row r="451" spans="1:8" s="1" customFormat="1" ht="21" customHeight="1">
      <c r="A451" s="3" t="s">
        <v>805</v>
      </c>
      <c r="B451" s="167">
        <v>4</v>
      </c>
      <c r="C451" s="160">
        <v>866.31</v>
      </c>
      <c r="D451" s="161">
        <f t="shared" si="15"/>
        <v>3465.24</v>
      </c>
      <c r="E451" s="26"/>
      <c r="F451" s="26"/>
      <c r="G451" s="26"/>
      <c r="H451" s="78"/>
    </row>
    <row r="452" spans="1:8" s="1" customFormat="1" ht="21" customHeight="1">
      <c r="A452" s="3" t="s">
        <v>804</v>
      </c>
      <c r="B452" s="167">
        <v>4</v>
      </c>
      <c r="C452" s="160">
        <v>1300</v>
      </c>
      <c r="D452" s="161">
        <f t="shared" si="15"/>
        <v>5200</v>
      </c>
      <c r="E452" s="26"/>
      <c r="F452" s="26"/>
      <c r="G452" s="26"/>
      <c r="H452" s="78"/>
    </row>
    <row r="453" spans="1:8" s="1" customFormat="1" ht="21" customHeight="1">
      <c r="A453" s="3" t="s">
        <v>803</v>
      </c>
      <c r="B453" s="167">
        <v>4</v>
      </c>
      <c r="C453" s="160">
        <v>866.31</v>
      </c>
      <c r="D453" s="161">
        <f t="shared" si="15"/>
        <v>3465.24</v>
      </c>
      <c r="E453" s="26"/>
      <c r="F453" s="26"/>
      <c r="G453" s="26"/>
      <c r="H453" s="78"/>
    </row>
    <row r="454" spans="1:8" s="1" customFormat="1" ht="21" customHeight="1">
      <c r="A454" s="27" t="s">
        <v>280</v>
      </c>
      <c r="B454" s="168">
        <v>4</v>
      </c>
      <c r="C454" s="160">
        <v>61.44</v>
      </c>
      <c r="D454" s="161">
        <f t="shared" si="15"/>
        <v>245.76</v>
      </c>
      <c r="E454" s="26"/>
      <c r="F454" s="26"/>
      <c r="G454" s="26"/>
      <c r="H454" s="78"/>
    </row>
    <row r="455" spans="1:8" s="1" customFormat="1" ht="21" customHeight="1">
      <c r="A455" s="27" t="s">
        <v>281</v>
      </c>
      <c r="B455" s="168">
        <v>2</v>
      </c>
      <c r="C455" s="160">
        <v>1099.78</v>
      </c>
      <c r="D455" s="161">
        <f t="shared" si="15"/>
        <v>2199.56</v>
      </c>
      <c r="E455" s="26"/>
      <c r="F455" s="26"/>
      <c r="G455" s="26"/>
      <c r="H455" s="78"/>
    </row>
    <row r="456" spans="1:8" s="1" customFormat="1" ht="21" customHeight="1">
      <c r="A456" s="27" t="s">
        <v>282</v>
      </c>
      <c r="B456" s="168">
        <v>2</v>
      </c>
      <c r="C456" s="160">
        <v>387</v>
      </c>
      <c r="D456" s="161">
        <f t="shared" si="15"/>
        <v>774</v>
      </c>
      <c r="E456" s="26"/>
      <c r="F456" s="26"/>
      <c r="G456" s="26"/>
      <c r="H456" s="78"/>
    </row>
    <row r="457" spans="1:8" s="1" customFormat="1" ht="21" customHeight="1">
      <c r="A457" s="27" t="s">
        <v>283</v>
      </c>
      <c r="B457" s="168">
        <v>2</v>
      </c>
      <c r="C457" s="160">
        <v>147.44999999999999</v>
      </c>
      <c r="D457" s="161">
        <f t="shared" si="15"/>
        <v>294.89999999999998</v>
      </c>
      <c r="E457" s="26"/>
      <c r="F457" s="26"/>
      <c r="G457" s="26"/>
      <c r="H457" s="78"/>
    </row>
    <row r="458" spans="1:8" s="1" customFormat="1" ht="21" customHeight="1">
      <c r="A458" s="27" t="s">
        <v>284</v>
      </c>
      <c r="B458" s="168">
        <v>5</v>
      </c>
      <c r="C458" s="160">
        <v>602.11</v>
      </c>
      <c r="D458" s="161">
        <f t="shared" si="15"/>
        <v>3010.55</v>
      </c>
      <c r="E458" s="26"/>
      <c r="F458" s="26"/>
      <c r="G458" s="26"/>
      <c r="H458" s="78"/>
    </row>
    <row r="459" spans="1:8" s="1" customFormat="1" ht="21" customHeight="1">
      <c r="A459" s="27" t="s">
        <v>285</v>
      </c>
      <c r="B459" s="168">
        <v>1</v>
      </c>
      <c r="C459" s="160">
        <v>153.6</v>
      </c>
      <c r="D459" s="161">
        <f t="shared" si="15"/>
        <v>153.6</v>
      </c>
      <c r="E459" s="26"/>
      <c r="F459" s="26"/>
      <c r="G459" s="26"/>
      <c r="H459" s="78"/>
    </row>
    <row r="460" spans="1:8" s="1" customFormat="1" ht="21" customHeight="1">
      <c r="A460" s="27" t="s">
        <v>286</v>
      </c>
      <c r="B460" s="168">
        <v>1</v>
      </c>
      <c r="C460" s="160">
        <v>448.52</v>
      </c>
      <c r="D460" s="161">
        <f t="shared" si="15"/>
        <v>448.52</v>
      </c>
      <c r="E460" s="26"/>
      <c r="F460" s="26"/>
      <c r="G460" s="26"/>
      <c r="H460" s="78"/>
    </row>
    <row r="461" spans="1:8" s="1" customFormat="1" ht="21" customHeight="1">
      <c r="A461" s="27" t="s">
        <v>287</v>
      </c>
      <c r="B461" s="168">
        <v>1</v>
      </c>
      <c r="C461" s="160">
        <v>159.75</v>
      </c>
      <c r="D461" s="161">
        <f t="shared" si="15"/>
        <v>159.75</v>
      </c>
      <c r="E461" s="26"/>
      <c r="F461" s="26"/>
      <c r="G461" s="26"/>
      <c r="H461" s="78"/>
    </row>
    <row r="462" spans="1:8" s="1" customFormat="1" ht="21" customHeight="1">
      <c r="A462" s="27" t="s">
        <v>288</v>
      </c>
      <c r="B462" s="168">
        <v>2</v>
      </c>
      <c r="C462" s="160">
        <v>2930</v>
      </c>
      <c r="D462" s="161">
        <f t="shared" si="15"/>
        <v>5860</v>
      </c>
      <c r="E462" s="26"/>
      <c r="F462" s="26"/>
      <c r="G462" s="26"/>
      <c r="H462" s="78"/>
    </row>
    <row r="463" spans="1:8" s="1" customFormat="1" ht="21" customHeight="1">
      <c r="A463" s="27" t="s">
        <v>289</v>
      </c>
      <c r="B463" s="168">
        <v>1</v>
      </c>
      <c r="C463" s="160">
        <v>610</v>
      </c>
      <c r="D463" s="161">
        <f t="shared" si="15"/>
        <v>610</v>
      </c>
      <c r="E463" s="26"/>
      <c r="F463" s="26"/>
      <c r="G463" s="26"/>
      <c r="H463" s="78"/>
    </row>
    <row r="464" spans="1:8" s="1" customFormat="1" ht="21" customHeight="1">
      <c r="A464" s="27" t="s">
        <v>290</v>
      </c>
      <c r="B464" s="168">
        <v>6</v>
      </c>
      <c r="C464" s="160">
        <v>100</v>
      </c>
      <c r="D464" s="161">
        <f t="shared" si="15"/>
        <v>600</v>
      </c>
      <c r="E464" s="26"/>
      <c r="F464" s="26"/>
      <c r="G464" s="26"/>
      <c r="H464" s="78"/>
    </row>
    <row r="465" spans="1:8" s="1" customFormat="1" ht="21" customHeight="1">
      <c r="A465" s="27" t="s">
        <v>291</v>
      </c>
      <c r="B465" s="168">
        <v>2</v>
      </c>
      <c r="C465" s="160">
        <v>66</v>
      </c>
      <c r="D465" s="161">
        <f t="shared" si="15"/>
        <v>132</v>
      </c>
      <c r="E465" s="26"/>
      <c r="F465" s="26"/>
      <c r="G465" s="26"/>
      <c r="H465" s="78"/>
    </row>
    <row r="466" spans="1:8" s="1" customFormat="1" ht="21" customHeight="1">
      <c r="A466" s="27" t="s">
        <v>807</v>
      </c>
      <c r="B466" s="168">
        <v>3</v>
      </c>
      <c r="C466" s="160">
        <v>1200</v>
      </c>
      <c r="D466" s="161">
        <f t="shared" si="15"/>
        <v>3600</v>
      </c>
      <c r="E466" s="26"/>
      <c r="F466" s="26"/>
      <c r="G466" s="26"/>
      <c r="H466" s="78"/>
    </row>
    <row r="467" spans="1:8" s="1" customFormat="1" ht="21" customHeight="1">
      <c r="A467" s="3" t="s">
        <v>806</v>
      </c>
      <c r="B467" s="194">
        <v>1</v>
      </c>
      <c r="C467" s="160">
        <v>50000</v>
      </c>
      <c r="D467" s="161">
        <f t="shared" si="15"/>
        <v>50000</v>
      </c>
      <c r="E467" s="26"/>
      <c r="F467" s="26"/>
      <c r="G467" s="26"/>
      <c r="H467" s="78"/>
    </row>
    <row r="468" spans="1:8" s="1" customFormat="1" ht="21" customHeight="1">
      <c r="A468" s="3" t="s">
        <v>808</v>
      </c>
      <c r="B468" s="194">
        <v>1</v>
      </c>
      <c r="C468" s="160">
        <v>6000</v>
      </c>
      <c r="D468" s="161">
        <f t="shared" si="15"/>
        <v>6000</v>
      </c>
      <c r="E468" s="26"/>
      <c r="F468" s="26"/>
      <c r="G468" s="26"/>
      <c r="H468" s="78"/>
    </row>
    <row r="469" spans="1:8" s="2" customFormat="1" ht="31.2">
      <c r="A469" s="176" t="s">
        <v>326</v>
      </c>
      <c r="B469" s="154"/>
      <c r="C469" s="155"/>
      <c r="D469" s="155">
        <f>SUM(D470:D471)</f>
        <v>286222508</v>
      </c>
      <c r="E469" s="156"/>
      <c r="F469" s="157"/>
      <c r="G469" s="157"/>
      <c r="H469" s="73"/>
    </row>
    <row r="470" spans="1:8" s="1" customFormat="1" ht="34.5" customHeight="1">
      <c r="A470" s="177" t="s">
        <v>834</v>
      </c>
      <c r="B470" s="159">
        <v>1</v>
      </c>
      <c r="C470" s="4">
        <f>+'2.7.2.4 (a)'!D35</f>
        <v>281099000</v>
      </c>
      <c r="D470" s="4">
        <f>+B470*C470</f>
        <v>281099000</v>
      </c>
      <c r="E470" s="175"/>
      <c r="F470" s="175"/>
      <c r="G470" s="175"/>
      <c r="H470" s="81" t="s">
        <v>835</v>
      </c>
    </row>
    <row r="471" spans="1:8" s="1" customFormat="1" ht="75" customHeight="1">
      <c r="A471" s="175" t="s">
        <v>292</v>
      </c>
      <c r="B471" s="159">
        <v>1</v>
      </c>
      <c r="C471" s="4">
        <f>+'2.7.2.4 (b)'!D22</f>
        <v>5123508</v>
      </c>
      <c r="D471" s="4">
        <f>+B471*C471</f>
        <v>5123508</v>
      </c>
      <c r="E471" s="175"/>
      <c r="F471" s="175"/>
      <c r="G471" s="175"/>
      <c r="H471" s="81" t="s">
        <v>836</v>
      </c>
    </row>
    <row r="472" spans="1:8" ht="31.2">
      <c r="A472" s="195" t="s">
        <v>5</v>
      </c>
      <c r="B472" s="195"/>
      <c r="C472" s="195"/>
      <c r="D472" s="198">
        <f>+D473</f>
        <v>1103330470.1999998</v>
      </c>
      <c r="E472" s="197" t="s">
        <v>617</v>
      </c>
      <c r="F472" s="195"/>
      <c r="G472" s="197" t="s">
        <v>832</v>
      </c>
      <c r="H472" s="61"/>
    </row>
    <row r="473" spans="1:8" s="2" customFormat="1" ht="30">
      <c r="A473" s="175" t="s">
        <v>505</v>
      </c>
      <c r="B473" s="154">
        <v>1</v>
      </c>
      <c r="C473" s="155">
        <f>+'Depart. Financiero'!E31*1.5</f>
        <v>1103330470.1999998</v>
      </c>
      <c r="D473" s="155">
        <f>+C473</f>
        <v>1103330470.1999998</v>
      </c>
      <c r="E473" s="156"/>
      <c r="F473" s="157"/>
      <c r="G473" s="157"/>
      <c r="H473" s="81" t="s">
        <v>616</v>
      </c>
    </row>
    <row r="474" spans="1:8" ht="31.2">
      <c r="A474" s="214" t="s">
        <v>6</v>
      </c>
      <c r="B474" s="215"/>
      <c r="C474" s="216"/>
      <c r="D474" s="217">
        <f>+D475+D498+D499+D509</f>
        <v>124443514.46666667</v>
      </c>
      <c r="E474" s="218"/>
      <c r="F474" s="218"/>
      <c r="G474" s="218"/>
      <c r="H474" s="62"/>
    </row>
    <row r="475" spans="1:8" ht="15.6">
      <c r="A475" s="195" t="s">
        <v>7</v>
      </c>
      <c r="B475" s="195"/>
      <c r="C475" s="195"/>
      <c r="D475" s="198">
        <f>+D477+D478</f>
        <v>91618564.466666669</v>
      </c>
      <c r="E475" s="197" t="s">
        <v>617</v>
      </c>
      <c r="F475" s="195"/>
      <c r="G475" s="197" t="s">
        <v>832</v>
      </c>
      <c r="H475" s="61"/>
    </row>
    <row r="476" spans="1:8" s="278" customFormat="1" ht="31.2">
      <c r="A476" s="170" t="s">
        <v>327</v>
      </c>
      <c r="B476" s="172"/>
      <c r="C476" s="155"/>
      <c r="D476" s="155"/>
      <c r="E476" s="26"/>
      <c r="F476" s="157"/>
      <c r="G476" s="157"/>
      <c r="H476" s="74"/>
    </row>
    <row r="477" spans="1:8" s="278" customFormat="1" ht="15.6">
      <c r="A477" s="170" t="s">
        <v>511</v>
      </c>
      <c r="B477" s="173">
        <v>1</v>
      </c>
      <c r="C477" s="174">
        <f>+'2.7.3.1'!E24</f>
        <v>91576666.666666672</v>
      </c>
      <c r="D477" s="174">
        <f>+C477</f>
        <v>91576666.666666672</v>
      </c>
      <c r="E477" s="170"/>
      <c r="F477" s="170"/>
      <c r="G477" s="170"/>
      <c r="H477" s="74"/>
    </row>
    <row r="478" spans="1:8" s="278" customFormat="1" ht="15.6">
      <c r="A478" s="170" t="s">
        <v>510</v>
      </c>
      <c r="B478" s="173"/>
      <c r="C478" s="174"/>
      <c r="D478" s="174">
        <f>SUM(D479:D497)</f>
        <v>41897.800000000003</v>
      </c>
      <c r="E478" s="170"/>
      <c r="F478" s="170"/>
      <c r="G478" s="170"/>
      <c r="H478" s="74"/>
    </row>
    <row r="479" spans="1:8" s="278" customFormat="1" ht="15">
      <c r="A479" s="3" t="s">
        <v>16</v>
      </c>
      <c r="B479" s="167">
        <v>4</v>
      </c>
      <c r="C479" s="4">
        <v>80</v>
      </c>
      <c r="D479" s="4">
        <f>+B479*C479</f>
        <v>320</v>
      </c>
      <c r="E479" s="175"/>
      <c r="F479" s="175"/>
      <c r="G479" s="175"/>
      <c r="H479" s="74"/>
    </row>
    <row r="480" spans="1:8" s="278" customFormat="1" ht="15">
      <c r="A480" s="3" t="s">
        <v>506</v>
      </c>
      <c r="B480" s="167">
        <v>8</v>
      </c>
      <c r="C480" s="4">
        <v>395</v>
      </c>
      <c r="D480" s="4">
        <f t="shared" ref="D480:D497" si="16">+B480*C480</f>
        <v>3160</v>
      </c>
      <c r="E480" s="175"/>
      <c r="F480" s="175"/>
      <c r="G480" s="175"/>
      <c r="H480" s="74"/>
    </row>
    <row r="481" spans="1:8" s="278" customFormat="1" ht="15">
      <c r="A481" s="3" t="s">
        <v>17</v>
      </c>
      <c r="B481" s="167">
        <v>12</v>
      </c>
      <c r="C481" s="4">
        <v>375</v>
      </c>
      <c r="D481" s="4">
        <f t="shared" si="16"/>
        <v>4500</v>
      </c>
      <c r="E481" s="175"/>
      <c r="F481" s="175"/>
      <c r="G481" s="175"/>
      <c r="H481" s="74"/>
    </row>
    <row r="482" spans="1:8" s="278" customFormat="1" ht="15">
      <c r="A482" s="3" t="s">
        <v>18</v>
      </c>
      <c r="B482" s="167">
        <v>6</v>
      </c>
      <c r="C482" s="4">
        <v>100.3</v>
      </c>
      <c r="D482" s="4">
        <f t="shared" si="16"/>
        <v>601.79999999999995</v>
      </c>
      <c r="E482" s="175"/>
      <c r="F482" s="175"/>
      <c r="G482" s="175"/>
      <c r="H482" s="74"/>
    </row>
    <row r="483" spans="1:8" s="278" customFormat="1" ht="15">
      <c r="A483" s="3" t="s">
        <v>19</v>
      </c>
      <c r="B483" s="167">
        <v>20</v>
      </c>
      <c r="C483" s="4">
        <v>38</v>
      </c>
      <c r="D483" s="4">
        <f t="shared" si="16"/>
        <v>760</v>
      </c>
      <c r="E483" s="175"/>
      <c r="F483" s="175"/>
      <c r="G483" s="175"/>
      <c r="H483" s="74"/>
    </row>
    <row r="484" spans="1:8" s="278" customFormat="1" ht="15">
      <c r="A484" s="3" t="s">
        <v>20</v>
      </c>
      <c r="B484" s="167">
        <v>10</v>
      </c>
      <c r="C484" s="4">
        <v>150</v>
      </c>
      <c r="D484" s="4">
        <f t="shared" si="16"/>
        <v>1500</v>
      </c>
      <c r="E484" s="175"/>
      <c r="F484" s="175"/>
      <c r="G484" s="175"/>
      <c r="H484" s="74"/>
    </row>
    <row r="485" spans="1:8" s="278" customFormat="1" ht="15">
      <c r="A485" s="3" t="s">
        <v>507</v>
      </c>
      <c r="B485" s="167">
        <v>2</v>
      </c>
      <c r="C485" s="4">
        <v>3250</v>
      </c>
      <c r="D485" s="4">
        <f t="shared" si="16"/>
        <v>6500</v>
      </c>
      <c r="E485" s="175"/>
      <c r="F485" s="175"/>
      <c r="G485" s="175"/>
      <c r="H485" s="74"/>
    </row>
    <row r="486" spans="1:8" s="278" customFormat="1" ht="15">
      <c r="A486" s="3" t="s">
        <v>21</v>
      </c>
      <c r="B486" s="167">
        <v>6</v>
      </c>
      <c r="C486" s="4">
        <v>22</v>
      </c>
      <c r="D486" s="4">
        <f t="shared" si="16"/>
        <v>132</v>
      </c>
      <c r="E486" s="175"/>
      <c r="F486" s="175"/>
      <c r="G486" s="175"/>
      <c r="H486" s="74"/>
    </row>
    <row r="487" spans="1:8" s="278" customFormat="1" ht="15">
      <c r="A487" s="3" t="s">
        <v>22</v>
      </c>
      <c r="B487" s="167">
        <v>4</v>
      </c>
      <c r="C487" s="4">
        <v>10</v>
      </c>
      <c r="D487" s="4">
        <f t="shared" si="16"/>
        <v>40</v>
      </c>
      <c r="E487" s="175"/>
      <c r="F487" s="175"/>
      <c r="G487" s="175"/>
      <c r="H487" s="74"/>
    </row>
    <row r="488" spans="1:8" s="278" customFormat="1" ht="15">
      <c r="A488" s="3" t="s">
        <v>23</v>
      </c>
      <c r="B488" s="167">
        <v>4</v>
      </c>
      <c r="C488" s="4">
        <v>4900</v>
      </c>
      <c r="D488" s="4">
        <f t="shared" si="16"/>
        <v>19600</v>
      </c>
      <c r="E488" s="175"/>
      <c r="F488" s="175"/>
      <c r="G488" s="175"/>
      <c r="H488" s="74"/>
    </row>
    <row r="489" spans="1:8" s="278" customFormat="1" ht="15">
      <c r="A489" s="3" t="s">
        <v>25</v>
      </c>
      <c r="B489" s="167">
        <v>6</v>
      </c>
      <c r="C489" s="4">
        <v>284</v>
      </c>
      <c r="D489" s="4">
        <f t="shared" si="16"/>
        <v>1704</v>
      </c>
      <c r="E489" s="175"/>
      <c r="F489" s="175"/>
      <c r="G489" s="175"/>
      <c r="H489" s="74"/>
    </row>
    <row r="490" spans="1:8" s="278" customFormat="1" ht="15">
      <c r="A490" s="3" t="s">
        <v>27</v>
      </c>
      <c r="B490" s="167">
        <v>6</v>
      </c>
      <c r="C490" s="4">
        <v>6</v>
      </c>
      <c r="D490" s="4">
        <f t="shared" si="16"/>
        <v>36</v>
      </c>
      <c r="E490" s="175"/>
      <c r="F490" s="175"/>
      <c r="G490" s="175"/>
      <c r="H490" s="74"/>
    </row>
    <row r="491" spans="1:8" s="278" customFormat="1" ht="15">
      <c r="A491" s="3" t="s">
        <v>28</v>
      </c>
      <c r="B491" s="167">
        <v>4</v>
      </c>
      <c r="C491" s="4">
        <v>340</v>
      </c>
      <c r="D491" s="4">
        <f t="shared" si="16"/>
        <v>1360</v>
      </c>
      <c r="E491" s="175"/>
      <c r="F491" s="175"/>
      <c r="G491" s="175"/>
      <c r="H491" s="74"/>
    </row>
    <row r="492" spans="1:8" s="278" customFormat="1" ht="15">
      <c r="A492" s="3" t="s">
        <v>29</v>
      </c>
      <c r="B492" s="167">
        <v>4</v>
      </c>
      <c r="C492" s="4">
        <v>154</v>
      </c>
      <c r="D492" s="4">
        <f t="shared" si="16"/>
        <v>616</v>
      </c>
      <c r="E492" s="175"/>
      <c r="F492" s="175"/>
      <c r="G492" s="175"/>
      <c r="H492" s="74"/>
    </row>
    <row r="493" spans="1:8" s="278" customFormat="1" ht="15">
      <c r="A493" s="3" t="s">
        <v>32</v>
      </c>
      <c r="B493" s="167">
        <v>2</v>
      </c>
      <c r="C493" s="4">
        <v>180</v>
      </c>
      <c r="D493" s="4">
        <f t="shared" si="16"/>
        <v>360</v>
      </c>
      <c r="E493" s="175"/>
      <c r="F493" s="175"/>
      <c r="G493" s="175"/>
      <c r="H493" s="74"/>
    </row>
    <row r="494" spans="1:8" s="278" customFormat="1" ht="15">
      <c r="A494" s="3" t="s">
        <v>33</v>
      </c>
      <c r="B494" s="167">
        <v>2</v>
      </c>
      <c r="C494" s="4">
        <v>35</v>
      </c>
      <c r="D494" s="4">
        <f t="shared" si="16"/>
        <v>70</v>
      </c>
      <c r="E494" s="175"/>
      <c r="F494" s="175"/>
      <c r="G494" s="175"/>
      <c r="H494" s="74"/>
    </row>
    <row r="495" spans="1:8" s="278" customFormat="1" ht="15">
      <c r="A495" s="3" t="s">
        <v>767</v>
      </c>
      <c r="B495" s="167">
        <v>6</v>
      </c>
      <c r="C495" s="4">
        <v>85</v>
      </c>
      <c r="D495" s="4">
        <f t="shared" si="16"/>
        <v>510</v>
      </c>
      <c r="E495" s="175"/>
      <c r="F495" s="175"/>
      <c r="G495" s="175"/>
      <c r="H495" s="74"/>
    </row>
    <row r="496" spans="1:8" s="279" customFormat="1" ht="15">
      <c r="A496" s="3" t="s">
        <v>766</v>
      </c>
      <c r="B496" s="167">
        <v>4</v>
      </c>
      <c r="C496" s="4">
        <v>21</v>
      </c>
      <c r="D496" s="4">
        <f t="shared" si="16"/>
        <v>84</v>
      </c>
      <c r="E496" s="175"/>
      <c r="F496" s="175"/>
      <c r="G496" s="175"/>
      <c r="H496" s="126"/>
    </row>
    <row r="497" spans="1:9" s="278" customFormat="1" ht="15">
      <c r="A497" s="3" t="s">
        <v>39</v>
      </c>
      <c r="B497" s="167">
        <v>2</v>
      </c>
      <c r="C497" s="4">
        <v>22</v>
      </c>
      <c r="D497" s="4">
        <f t="shared" si="16"/>
        <v>44</v>
      </c>
      <c r="E497" s="175"/>
      <c r="F497" s="175"/>
      <c r="G497" s="175"/>
      <c r="H497" s="74"/>
    </row>
    <row r="498" spans="1:9" ht="31.2">
      <c r="A498" s="195" t="s">
        <v>8</v>
      </c>
      <c r="B498" s="195"/>
      <c r="C498" s="195"/>
      <c r="D498" s="203"/>
      <c r="E498" s="197" t="s">
        <v>617</v>
      </c>
      <c r="F498" s="195"/>
      <c r="G498" s="197" t="s">
        <v>832</v>
      </c>
      <c r="H498" s="61"/>
      <c r="I498" s="264" t="s">
        <v>147</v>
      </c>
    </row>
    <row r="499" spans="1:9" ht="15.6">
      <c r="A499" s="195" t="s">
        <v>9</v>
      </c>
      <c r="B499" s="195"/>
      <c r="C499" s="195"/>
      <c r="D499" s="198">
        <f>+D500+D503</f>
        <v>19144950</v>
      </c>
      <c r="E499" s="197" t="s">
        <v>617</v>
      </c>
      <c r="F499" s="195"/>
      <c r="G499" s="197" t="s">
        <v>832</v>
      </c>
      <c r="H499" s="61"/>
    </row>
    <row r="500" spans="1:9" s="2" customFormat="1" ht="51.75" customHeight="1">
      <c r="A500" s="170" t="s">
        <v>331</v>
      </c>
      <c r="B500" s="154"/>
      <c r="C500" s="155"/>
      <c r="D500" s="155">
        <f>SUM(D501:D502)</f>
        <v>18920000</v>
      </c>
      <c r="E500" s="156"/>
      <c r="F500" s="157"/>
      <c r="G500" s="157"/>
      <c r="H500" s="81" t="s">
        <v>837</v>
      </c>
    </row>
    <row r="501" spans="1:9" s="57" customFormat="1" ht="39.75" customHeight="1">
      <c r="A501" s="3" t="s">
        <v>145</v>
      </c>
      <c r="B501" s="171">
        <v>20</v>
      </c>
      <c r="C501" s="4">
        <f>400000*1.1</f>
        <v>440000.00000000006</v>
      </c>
      <c r="D501" s="161">
        <f>+B501*C501</f>
        <v>8800000.0000000019</v>
      </c>
      <c r="E501" s="26"/>
      <c r="F501" s="26"/>
      <c r="G501" s="26"/>
      <c r="H501" s="90" t="s">
        <v>329</v>
      </c>
    </row>
    <row r="502" spans="1:9" s="57" customFormat="1" ht="53.25" customHeight="1">
      <c r="A502" s="3" t="s">
        <v>146</v>
      </c>
      <c r="B502" s="171">
        <v>1</v>
      </c>
      <c r="C502" s="4">
        <f>9200000*1.1</f>
        <v>10120000</v>
      </c>
      <c r="D502" s="161">
        <f>+C502</f>
        <v>10120000</v>
      </c>
      <c r="E502" s="26"/>
      <c r="F502" s="26"/>
      <c r="G502" s="26"/>
      <c r="H502" s="90" t="s">
        <v>330</v>
      </c>
    </row>
    <row r="503" spans="1:9" s="57" customFormat="1" ht="39.75" customHeight="1">
      <c r="A503" s="25" t="s">
        <v>1007</v>
      </c>
      <c r="B503" s="171"/>
      <c r="C503" s="4"/>
      <c r="D503" s="155">
        <f>SUM(D504:D508)</f>
        <v>224950</v>
      </c>
      <c r="E503" s="26"/>
      <c r="F503" s="26"/>
      <c r="G503" s="26"/>
      <c r="H503" s="90" t="s">
        <v>534</v>
      </c>
    </row>
    <row r="504" spans="1:9" s="57" customFormat="1" ht="21" customHeight="1">
      <c r="A504" s="3" t="s">
        <v>123</v>
      </c>
      <c r="B504" s="171">
        <v>4</v>
      </c>
      <c r="C504" s="4">
        <f>6000*1.1</f>
        <v>6600.0000000000009</v>
      </c>
      <c r="D504" s="161">
        <f>+B504*C504</f>
        <v>26400.000000000004</v>
      </c>
      <c r="E504" s="26"/>
      <c r="F504" s="26"/>
      <c r="G504" s="26"/>
      <c r="H504" s="91"/>
    </row>
    <row r="505" spans="1:9" s="57" customFormat="1" ht="21" customHeight="1">
      <c r="A505" s="3" t="s">
        <v>124</v>
      </c>
      <c r="B505" s="171">
        <v>5</v>
      </c>
      <c r="C505" s="4">
        <f>360*1.1</f>
        <v>396.00000000000006</v>
      </c>
      <c r="D505" s="161">
        <f>+B505*C505</f>
        <v>1980.0000000000002</v>
      </c>
      <c r="E505" s="26"/>
      <c r="F505" s="26"/>
      <c r="G505" s="26"/>
      <c r="H505" s="92"/>
    </row>
    <row r="506" spans="1:9" s="57" customFormat="1" ht="21" customHeight="1">
      <c r="A506" s="3" t="s">
        <v>125</v>
      </c>
      <c r="B506" s="171">
        <v>800</v>
      </c>
      <c r="C506" s="4">
        <f>50*1.1</f>
        <v>55.000000000000007</v>
      </c>
      <c r="D506" s="161">
        <f>+B506*C506</f>
        <v>44000.000000000007</v>
      </c>
      <c r="E506" s="26"/>
      <c r="F506" s="26"/>
      <c r="G506" s="26"/>
      <c r="H506" s="92"/>
    </row>
    <row r="507" spans="1:9" s="1" customFormat="1" ht="21" customHeight="1">
      <c r="A507" s="3" t="s">
        <v>126</v>
      </c>
      <c r="B507" s="171">
        <v>800</v>
      </c>
      <c r="C507" s="4">
        <f>14*1.1</f>
        <v>15.400000000000002</v>
      </c>
      <c r="D507" s="161">
        <f>+C507*B507</f>
        <v>12320.000000000002</v>
      </c>
      <c r="E507" s="26"/>
      <c r="F507" s="26"/>
      <c r="G507" s="26"/>
      <c r="H507" s="92"/>
    </row>
    <row r="508" spans="1:9" s="1" customFormat="1" ht="21" customHeight="1">
      <c r="A508" s="3" t="s">
        <v>127</v>
      </c>
      <c r="B508" s="171">
        <v>850</v>
      </c>
      <c r="C508" s="4">
        <f>150*1.1</f>
        <v>165</v>
      </c>
      <c r="D508" s="161">
        <f>+C508*B508</f>
        <v>140250</v>
      </c>
      <c r="E508" s="26"/>
      <c r="F508" s="26"/>
      <c r="G508" s="26"/>
      <c r="H508" s="88"/>
    </row>
    <row r="509" spans="1:9" ht="31.2">
      <c r="A509" s="195" t="s">
        <v>819</v>
      </c>
      <c r="B509" s="195"/>
      <c r="C509" s="195"/>
      <c r="D509" s="198">
        <f>+D510</f>
        <v>13680000</v>
      </c>
      <c r="E509" s="197" t="s">
        <v>617</v>
      </c>
      <c r="F509" s="195"/>
      <c r="G509" s="197" t="s">
        <v>832</v>
      </c>
      <c r="H509" s="61"/>
    </row>
    <row r="510" spans="1:9" s="2" customFormat="1" ht="30">
      <c r="A510" s="169" t="s">
        <v>328</v>
      </c>
      <c r="B510" s="154">
        <v>1</v>
      </c>
      <c r="C510" s="155">
        <f>+'2.7.3.1'!E43</f>
        <v>13680000</v>
      </c>
      <c r="D510" s="155">
        <f>+C510</f>
        <v>13680000</v>
      </c>
      <c r="E510" s="26"/>
      <c r="F510" s="157"/>
      <c r="G510" s="157"/>
      <c r="H510" s="111"/>
    </row>
    <row r="511" spans="1:9" ht="46.8">
      <c r="A511" s="214" t="s">
        <v>697</v>
      </c>
      <c r="B511" s="215"/>
      <c r="C511" s="216">
        <f>+C512+C518</f>
        <v>11652749</v>
      </c>
      <c r="D511" s="217">
        <f>+C511</f>
        <v>11652749</v>
      </c>
      <c r="E511" s="218"/>
      <c r="F511" s="218"/>
      <c r="G511" s="218"/>
      <c r="H511" s="68"/>
    </row>
    <row r="512" spans="1:9" ht="15.6">
      <c r="A512" s="195" t="s">
        <v>10</v>
      </c>
      <c r="B512" s="617">
        <v>1</v>
      </c>
      <c r="C512" s="619">
        <f>+Salud!C90</f>
        <v>8052749</v>
      </c>
      <c r="D512" s="615">
        <f>+C512</f>
        <v>8052749</v>
      </c>
      <c r="E512" s="197" t="s">
        <v>617</v>
      </c>
      <c r="F512" s="195"/>
      <c r="G512" s="197" t="s">
        <v>832</v>
      </c>
      <c r="H512" s="61"/>
    </row>
    <row r="513" spans="1:9" ht="31.2">
      <c r="A513" s="195" t="s">
        <v>11</v>
      </c>
      <c r="B513" s="618"/>
      <c r="C513" s="618"/>
      <c r="D513" s="616"/>
      <c r="E513" s="197" t="s">
        <v>617</v>
      </c>
      <c r="F513" s="195"/>
      <c r="G513" s="197" t="s">
        <v>832</v>
      </c>
      <c r="H513" s="61"/>
      <c r="I513" s="264" t="s">
        <v>147</v>
      </c>
    </row>
    <row r="514" spans="1:9" s="2" customFormat="1" ht="30" hidden="1">
      <c r="A514" s="127" t="s">
        <v>364</v>
      </c>
      <c r="B514" s="69"/>
      <c r="C514" s="70"/>
      <c r="D514" s="70"/>
      <c r="E514" s="71"/>
      <c r="F514" s="72"/>
      <c r="G514" s="72"/>
      <c r="H514" s="73"/>
    </row>
    <row r="515" spans="1:9" s="2" customFormat="1" ht="15" hidden="1">
      <c r="A515" s="80" t="s">
        <v>361</v>
      </c>
      <c r="B515" s="79"/>
      <c r="C515" s="76"/>
      <c r="D515" s="76"/>
      <c r="E515" s="77"/>
      <c r="F515" s="77"/>
      <c r="G515" s="77"/>
      <c r="H515" s="78" t="s">
        <v>362</v>
      </c>
    </row>
    <row r="516" spans="1:9" s="2" customFormat="1" ht="15" hidden="1">
      <c r="A516" s="80" t="s">
        <v>363</v>
      </c>
      <c r="B516" s="79"/>
      <c r="C516" s="76"/>
      <c r="D516" s="76"/>
      <c r="E516" s="77"/>
      <c r="F516" s="77"/>
      <c r="G516" s="77"/>
      <c r="H516" s="78" t="s">
        <v>362</v>
      </c>
    </row>
    <row r="517" spans="1:9" ht="15.6">
      <c r="A517" s="201" t="s">
        <v>698</v>
      </c>
      <c r="B517" s="256"/>
      <c r="C517" s="256"/>
      <c r="D517" s="256"/>
      <c r="E517" s="197" t="s">
        <v>617</v>
      </c>
      <c r="F517" s="195"/>
      <c r="G517" s="197" t="s">
        <v>832</v>
      </c>
      <c r="H517" s="61"/>
    </row>
    <row r="518" spans="1:9" s="2" customFormat="1" ht="31.5" customHeight="1">
      <c r="A518" s="27" t="s">
        <v>821</v>
      </c>
      <c r="B518" s="159">
        <v>1</v>
      </c>
      <c r="C518" s="161">
        <v>3600000</v>
      </c>
      <c r="D518" s="161">
        <f>+B518*C518</f>
        <v>3600000</v>
      </c>
      <c r="E518" s="26"/>
      <c r="F518" s="26"/>
      <c r="G518" s="26"/>
      <c r="H518" s="78"/>
    </row>
    <row r="519" spans="1:9" ht="17.399999999999999">
      <c r="A519" s="214" t="s">
        <v>12</v>
      </c>
      <c r="B519" s="215"/>
      <c r="C519" s="216"/>
      <c r="D519" s="217">
        <f>+D520+D570+D571+D572</f>
        <v>5097497.2</v>
      </c>
      <c r="E519" s="218"/>
      <c r="F519" s="218"/>
      <c r="G519" s="218"/>
      <c r="H519" s="68"/>
    </row>
    <row r="520" spans="1:9" ht="31.2">
      <c r="A520" s="195" t="s">
        <v>865</v>
      </c>
      <c r="B520" s="195"/>
      <c r="C520" s="195"/>
      <c r="D520" s="198">
        <f>+D521</f>
        <v>5097497.2</v>
      </c>
      <c r="E520" s="197" t="s">
        <v>617</v>
      </c>
      <c r="F520" s="195"/>
      <c r="G520" s="197" t="s">
        <v>832</v>
      </c>
      <c r="H520" s="61"/>
    </row>
    <row r="521" spans="1:9" s="58" customFormat="1" ht="75">
      <c r="A521" s="166" t="s">
        <v>866</v>
      </c>
      <c r="B521" s="154"/>
      <c r="C521" s="155"/>
      <c r="D521" s="155">
        <f>SUM(D523:D569)</f>
        <v>5097497.2</v>
      </c>
      <c r="E521" s="156"/>
      <c r="F521" s="157"/>
      <c r="G521" s="157"/>
      <c r="H521" s="73" t="s">
        <v>332</v>
      </c>
    </row>
    <row r="522" spans="1:9" s="59" customFormat="1" ht="24.9" customHeight="1">
      <c r="A522" s="499" t="s">
        <v>877</v>
      </c>
      <c r="B522" s="500"/>
      <c r="C522" s="4"/>
      <c r="E522" s="26"/>
      <c r="F522" s="26"/>
      <c r="G522" s="26"/>
      <c r="H522" s="78"/>
    </row>
    <row r="523" spans="1:9" s="59" customFormat="1" ht="18" customHeight="1">
      <c r="A523" s="501" t="s">
        <v>878</v>
      </c>
      <c r="B523" s="500">
        <v>12</v>
      </c>
      <c r="C523" s="4">
        <f>890*4</f>
        <v>3560</v>
      </c>
      <c r="D523" s="161">
        <f>+C523*B523</f>
        <v>42720</v>
      </c>
      <c r="E523" s="26"/>
      <c r="F523" s="26"/>
      <c r="G523" s="26"/>
      <c r="H523" s="78"/>
    </row>
    <row r="524" spans="1:9" s="59" customFormat="1" ht="18" customHeight="1">
      <c r="A524" s="501" t="s">
        <v>879</v>
      </c>
      <c r="B524" s="500">
        <v>12</v>
      </c>
      <c r="C524" s="4">
        <f>1698*4</f>
        <v>6792</v>
      </c>
      <c r="D524" s="161">
        <f t="shared" ref="D524:D567" si="17">+C524*B524</f>
        <v>81504</v>
      </c>
      <c r="E524" s="26"/>
      <c r="F524" s="26"/>
      <c r="G524" s="26"/>
      <c r="H524" s="78"/>
    </row>
    <row r="525" spans="1:9" s="59" customFormat="1" ht="18" customHeight="1">
      <c r="A525" s="501" t="s">
        <v>880</v>
      </c>
      <c r="B525" s="500">
        <v>40</v>
      </c>
      <c r="C525" s="4">
        <v>450</v>
      </c>
      <c r="D525" s="161">
        <f t="shared" si="17"/>
        <v>18000</v>
      </c>
      <c r="E525" s="26"/>
      <c r="F525" s="26"/>
      <c r="G525" s="26"/>
      <c r="H525" s="78"/>
    </row>
    <row r="526" spans="1:9" s="59" customFormat="1" ht="18" customHeight="1">
      <c r="A526" s="501" t="s">
        <v>881</v>
      </c>
      <c r="B526" s="500">
        <v>60</v>
      </c>
      <c r="C526" s="160">
        <v>390</v>
      </c>
      <c r="D526" s="161">
        <f t="shared" si="17"/>
        <v>23400</v>
      </c>
      <c r="E526" s="26"/>
      <c r="F526" s="26"/>
      <c r="G526" s="26"/>
      <c r="H526" s="78"/>
    </row>
    <row r="527" spans="1:9" s="59" customFormat="1" ht="18" customHeight="1">
      <c r="A527" s="501" t="s">
        <v>882</v>
      </c>
      <c r="B527" s="500">
        <v>20</v>
      </c>
      <c r="C527" s="4">
        <v>1750</v>
      </c>
      <c r="D527" s="161">
        <f t="shared" si="17"/>
        <v>35000</v>
      </c>
      <c r="E527" s="26"/>
      <c r="F527" s="26"/>
      <c r="G527" s="26"/>
      <c r="H527" s="78"/>
    </row>
    <row r="528" spans="1:9" s="59" customFormat="1" ht="18" customHeight="1">
      <c r="A528" s="501" t="s">
        <v>883</v>
      </c>
      <c r="B528" s="500">
        <v>5</v>
      </c>
      <c r="C528" s="4">
        <v>26.5</v>
      </c>
      <c r="D528" s="161">
        <f t="shared" si="17"/>
        <v>132.5</v>
      </c>
      <c r="E528" s="26"/>
      <c r="F528" s="26"/>
      <c r="G528" s="26"/>
      <c r="H528" s="78"/>
    </row>
    <row r="529" spans="1:8" s="59" customFormat="1" ht="18" customHeight="1">
      <c r="A529" s="501" t="s">
        <v>884</v>
      </c>
      <c r="B529" s="500">
        <v>5</v>
      </c>
      <c r="C529" s="4">
        <v>197.5</v>
      </c>
      <c r="D529" s="161">
        <f t="shared" si="17"/>
        <v>987.5</v>
      </c>
      <c r="E529" s="26"/>
      <c r="F529" s="26"/>
      <c r="G529" s="26"/>
      <c r="H529" s="78"/>
    </row>
    <row r="530" spans="1:8" s="59" customFormat="1" ht="18" customHeight="1">
      <c r="A530" s="501" t="s">
        <v>885</v>
      </c>
      <c r="B530" s="500">
        <v>5</v>
      </c>
      <c r="C530" s="4">
        <v>80.400000000000006</v>
      </c>
      <c r="D530" s="161">
        <f t="shared" si="17"/>
        <v>402</v>
      </c>
      <c r="E530" s="26"/>
      <c r="F530" s="26"/>
      <c r="G530" s="26"/>
      <c r="H530" s="78"/>
    </row>
    <row r="531" spans="1:8" s="59" customFormat="1" ht="18" customHeight="1">
      <c r="A531" s="501" t="s">
        <v>886</v>
      </c>
      <c r="B531" s="500">
        <v>10</v>
      </c>
      <c r="C531" s="4">
        <v>375</v>
      </c>
      <c r="D531" s="161">
        <f t="shared" si="17"/>
        <v>3750</v>
      </c>
      <c r="E531" s="26"/>
      <c r="F531" s="26"/>
      <c r="G531" s="26"/>
      <c r="H531" s="78"/>
    </row>
    <row r="532" spans="1:8" s="59" customFormat="1" ht="18" customHeight="1">
      <c r="A532" s="501" t="s">
        <v>887</v>
      </c>
      <c r="B532" s="500">
        <v>10</v>
      </c>
      <c r="C532" s="4">
        <v>375</v>
      </c>
      <c r="D532" s="161">
        <f t="shared" si="17"/>
        <v>3750</v>
      </c>
      <c r="E532" s="26"/>
      <c r="F532" s="26"/>
      <c r="G532" s="26"/>
      <c r="H532" s="78"/>
    </row>
    <row r="533" spans="1:8" s="59" customFormat="1" ht="18" customHeight="1">
      <c r="A533" s="501" t="s">
        <v>888</v>
      </c>
      <c r="B533" s="500">
        <v>200</v>
      </c>
      <c r="C533" s="4">
        <v>185</v>
      </c>
      <c r="D533" s="161">
        <f t="shared" si="17"/>
        <v>37000</v>
      </c>
      <c r="E533" s="26"/>
      <c r="F533" s="26"/>
      <c r="G533" s="26"/>
      <c r="H533" s="78"/>
    </row>
    <row r="534" spans="1:8" s="59" customFormat="1" ht="18" customHeight="1">
      <c r="A534" s="501" t="s">
        <v>889</v>
      </c>
      <c r="B534" s="500">
        <v>200</v>
      </c>
      <c r="C534" s="4">
        <v>345</v>
      </c>
      <c r="D534" s="161">
        <f t="shared" si="17"/>
        <v>69000</v>
      </c>
      <c r="E534" s="26"/>
      <c r="F534" s="26"/>
      <c r="G534" s="26"/>
      <c r="H534" s="78"/>
    </row>
    <row r="535" spans="1:8" s="59" customFormat="1" ht="18" customHeight="1">
      <c r="A535" s="501" t="s">
        <v>890</v>
      </c>
      <c r="B535" s="500">
        <v>100</v>
      </c>
      <c r="C535" s="4">
        <v>521</v>
      </c>
      <c r="D535" s="161">
        <f t="shared" si="17"/>
        <v>52100</v>
      </c>
      <c r="E535" s="26"/>
      <c r="F535" s="26"/>
      <c r="G535" s="26"/>
      <c r="H535" s="78"/>
    </row>
    <row r="536" spans="1:8" s="59" customFormat="1" ht="18" customHeight="1">
      <c r="A536" s="501" t="s">
        <v>891</v>
      </c>
      <c r="B536" s="500">
        <v>2</v>
      </c>
      <c r="C536" s="4">
        <v>340</v>
      </c>
      <c r="D536" s="161">
        <f t="shared" si="17"/>
        <v>680</v>
      </c>
      <c r="E536" s="26"/>
      <c r="F536" s="26"/>
      <c r="G536" s="26"/>
      <c r="H536" s="78"/>
    </row>
    <row r="537" spans="1:8" s="59" customFormat="1" ht="18" customHeight="1">
      <c r="A537" s="501" t="s">
        <v>892</v>
      </c>
      <c r="B537" s="500">
        <v>5</v>
      </c>
      <c r="C537" s="4">
        <v>125</v>
      </c>
      <c r="D537" s="161">
        <f t="shared" si="17"/>
        <v>625</v>
      </c>
      <c r="E537" s="26"/>
      <c r="F537" s="26"/>
      <c r="G537" s="26"/>
      <c r="H537" s="78"/>
    </row>
    <row r="538" spans="1:8" s="59" customFormat="1" ht="18" customHeight="1">
      <c r="A538" s="501" t="s">
        <v>893</v>
      </c>
      <c r="B538" s="500">
        <v>5</v>
      </c>
      <c r="C538" s="4">
        <v>150</v>
      </c>
      <c r="D538" s="161">
        <f t="shared" si="17"/>
        <v>750</v>
      </c>
      <c r="E538" s="26"/>
      <c r="F538" s="26"/>
      <c r="G538" s="26"/>
      <c r="H538" s="78"/>
    </row>
    <row r="539" spans="1:8" s="59" customFormat="1" ht="18" customHeight="1">
      <c r="A539" s="501" t="s">
        <v>894</v>
      </c>
      <c r="B539" s="500">
        <v>80</v>
      </c>
      <c r="C539" s="4">
        <v>42.5</v>
      </c>
      <c r="D539" s="161">
        <f t="shared" si="17"/>
        <v>3400</v>
      </c>
      <c r="E539" s="26"/>
      <c r="F539" s="26"/>
      <c r="G539" s="26"/>
      <c r="H539" s="78"/>
    </row>
    <row r="540" spans="1:8" s="59" customFormat="1" ht="18" customHeight="1">
      <c r="A540" s="501" t="s">
        <v>895</v>
      </c>
      <c r="B540" s="500">
        <v>3</v>
      </c>
      <c r="C540" s="4">
        <v>196.8</v>
      </c>
      <c r="D540" s="161">
        <f t="shared" si="17"/>
        <v>590.40000000000009</v>
      </c>
      <c r="E540" s="26"/>
      <c r="F540" s="26"/>
      <c r="G540" s="26"/>
      <c r="H540" s="78"/>
    </row>
    <row r="541" spans="1:8" s="59" customFormat="1" ht="18" customHeight="1">
      <c r="A541" s="501" t="s">
        <v>896</v>
      </c>
      <c r="B541" s="500">
        <v>3</v>
      </c>
      <c r="C541" s="4">
        <v>157.80000000000001</v>
      </c>
      <c r="D541" s="161">
        <f t="shared" si="17"/>
        <v>473.40000000000003</v>
      </c>
      <c r="E541" s="26"/>
      <c r="F541" s="26"/>
      <c r="G541" s="26"/>
      <c r="H541" s="78"/>
    </row>
    <row r="542" spans="1:8" s="59" customFormat="1" ht="18" customHeight="1">
      <c r="A542" s="501" t="s">
        <v>897</v>
      </c>
      <c r="B542" s="500">
        <v>6</v>
      </c>
      <c r="C542" s="4">
        <v>145</v>
      </c>
      <c r="D542" s="161">
        <f t="shared" si="17"/>
        <v>870</v>
      </c>
      <c r="E542" s="26"/>
      <c r="F542" s="26"/>
      <c r="G542" s="26"/>
      <c r="H542" s="78"/>
    </row>
    <row r="543" spans="1:8" s="59" customFormat="1" ht="18" customHeight="1">
      <c r="A543" s="501" t="s">
        <v>898</v>
      </c>
      <c r="B543" s="500">
        <v>6</v>
      </c>
      <c r="C543" s="4">
        <v>130.9</v>
      </c>
      <c r="D543" s="161">
        <f t="shared" si="17"/>
        <v>785.40000000000009</v>
      </c>
      <c r="E543" s="26"/>
      <c r="F543" s="26"/>
      <c r="G543" s="26"/>
      <c r="H543" s="78"/>
    </row>
    <row r="544" spans="1:8" s="59" customFormat="1" ht="18" customHeight="1">
      <c r="A544" s="501" t="s">
        <v>899</v>
      </c>
      <c r="B544" s="500">
        <v>20</v>
      </c>
      <c r="C544" s="4">
        <v>515</v>
      </c>
      <c r="D544" s="161">
        <f t="shared" si="17"/>
        <v>10300</v>
      </c>
      <c r="E544" s="26"/>
      <c r="F544" s="26"/>
      <c r="G544" s="26"/>
      <c r="H544" s="78"/>
    </row>
    <row r="545" spans="1:8" s="59" customFormat="1" ht="24.9" customHeight="1">
      <c r="A545" s="502" t="s">
        <v>900</v>
      </c>
      <c r="B545" s="290"/>
      <c r="C545" s="4"/>
      <c r="D545" s="161"/>
      <c r="E545" s="26"/>
      <c r="F545" s="26"/>
      <c r="G545" s="26"/>
      <c r="H545" s="78"/>
    </row>
    <row r="546" spans="1:8" s="59" customFormat="1" ht="18" customHeight="1">
      <c r="A546" s="501" t="s">
        <v>901</v>
      </c>
      <c r="B546" s="500">
        <v>2</v>
      </c>
      <c r="C546" s="4">
        <v>25000</v>
      </c>
      <c r="D546" s="161">
        <f t="shared" si="17"/>
        <v>50000</v>
      </c>
      <c r="E546" s="26"/>
      <c r="F546" s="26"/>
      <c r="G546" s="26"/>
      <c r="H546" s="78"/>
    </row>
    <row r="547" spans="1:8" s="59" customFormat="1" ht="18" customHeight="1">
      <c r="A547" s="501" t="s">
        <v>902</v>
      </c>
      <c r="B547" s="500">
        <v>50</v>
      </c>
      <c r="C547" s="4">
        <v>500</v>
      </c>
      <c r="D547" s="161">
        <f t="shared" si="17"/>
        <v>25000</v>
      </c>
      <c r="E547" s="26"/>
      <c r="F547" s="26"/>
      <c r="G547" s="26"/>
      <c r="H547" s="78"/>
    </row>
    <row r="548" spans="1:8" s="59" customFormat="1" ht="18" customHeight="1">
      <c r="A548" s="27" t="s">
        <v>867</v>
      </c>
      <c r="B548" s="168">
        <v>100</v>
      </c>
      <c r="C548" s="160">
        <v>800</v>
      </c>
      <c r="D548" s="161">
        <f t="shared" si="17"/>
        <v>80000</v>
      </c>
      <c r="E548" s="31"/>
      <c r="F548" s="31"/>
      <c r="G548" s="31"/>
      <c r="H548" s="110"/>
    </row>
    <row r="549" spans="1:8" s="59" customFormat="1" ht="18" customHeight="1">
      <c r="A549" s="501" t="s">
        <v>903</v>
      </c>
      <c r="B549" s="500">
        <v>5</v>
      </c>
      <c r="C549" s="4">
        <v>8260</v>
      </c>
      <c r="D549" s="161">
        <f t="shared" si="17"/>
        <v>41300</v>
      </c>
      <c r="E549" s="26"/>
      <c r="F549" s="26"/>
      <c r="G549" s="26"/>
      <c r="H549" s="78"/>
    </row>
    <row r="550" spans="1:8" s="59" customFormat="1" ht="18" customHeight="1">
      <c r="A550" s="501" t="s">
        <v>904</v>
      </c>
      <c r="B550" s="500">
        <v>5</v>
      </c>
      <c r="C550" s="4">
        <v>8260</v>
      </c>
      <c r="D550" s="161">
        <f t="shared" si="17"/>
        <v>41300</v>
      </c>
      <c r="E550" s="26"/>
      <c r="F550" s="26"/>
      <c r="G550" s="26"/>
      <c r="H550" s="78"/>
    </row>
    <row r="551" spans="1:8" s="59" customFormat="1" ht="18" customHeight="1">
      <c r="A551" s="501" t="s">
        <v>905</v>
      </c>
      <c r="B551" s="500">
        <v>5</v>
      </c>
      <c r="C551" s="4">
        <v>8260</v>
      </c>
      <c r="D551" s="161">
        <f t="shared" si="17"/>
        <v>41300</v>
      </c>
      <c r="E551" s="26"/>
      <c r="F551" s="26"/>
      <c r="G551" s="26"/>
      <c r="H551" s="78"/>
    </row>
    <row r="552" spans="1:8" s="1" customFormat="1" ht="18" customHeight="1">
      <c r="A552" s="501" t="s">
        <v>906</v>
      </c>
      <c r="B552" s="500">
        <v>5</v>
      </c>
      <c r="C552" s="4">
        <v>8260</v>
      </c>
      <c r="D552" s="161">
        <f t="shared" si="17"/>
        <v>41300</v>
      </c>
      <c r="E552" s="26"/>
      <c r="F552" s="26"/>
      <c r="G552" s="26"/>
      <c r="H552" s="78"/>
    </row>
    <row r="553" spans="1:8" s="59" customFormat="1" ht="18" customHeight="1">
      <c r="A553" s="501" t="s">
        <v>907</v>
      </c>
      <c r="B553" s="500">
        <v>3</v>
      </c>
      <c r="C553" s="4">
        <v>8260</v>
      </c>
      <c r="D553" s="161">
        <f t="shared" si="17"/>
        <v>24780</v>
      </c>
      <c r="E553" s="26"/>
      <c r="F553" s="26"/>
      <c r="G553" s="26"/>
      <c r="H553" s="78"/>
    </row>
    <row r="554" spans="1:8" s="59" customFormat="1" ht="18" customHeight="1">
      <c r="A554" s="501" t="s">
        <v>908</v>
      </c>
      <c r="B554" s="500">
        <v>3</v>
      </c>
      <c r="C554" s="4">
        <v>8260</v>
      </c>
      <c r="D554" s="161">
        <f t="shared" si="17"/>
        <v>24780</v>
      </c>
      <c r="E554" s="26"/>
      <c r="F554" s="26"/>
      <c r="G554" s="26"/>
      <c r="H554" s="78"/>
    </row>
    <row r="555" spans="1:8" s="59" customFormat="1" ht="18" customHeight="1">
      <c r="A555" s="501" t="s">
        <v>909</v>
      </c>
      <c r="B555" s="500">
        <v>3</v>
      </c>
      <c r="C555" s="4">
        <v>8260</v>
      </c>
      <c r="D555" s="161">
        <f t="shared" si="17"/>
        <v>24780</v>
      </c>
      <c r="E555" s="26"/>
      <c r="F555" s="26"/>
      <c r="G555" s="26"/>
      <c r="H555" s="78"/>
    </row>
    <row r="556" spans="1:8" s="59" customFormat="1" ht="18" customHeight="1">
      <c r="A556" s="501" t="s">
        <v>910</v>
      </c>
      <c r="B556" s="500">
        <v>3</v>
      </c>
      <c r="C556" s="4">
        <v>8260</v>
      </c>
      <c r="D556" s="161">
        <f t="shared" si="17"/>
        <v>24780</v>
      </c>
      <c r="E556" s="26"/>
      <c r="F556" s="26"/>
      <c r="G556" s="26"/>
      <c r="H556" s="78"/>
    </row>
    <row r="557" spans="1:8" s="59" customFormat="1" ht="18" customHeight="1">
      <c r="A557" s="501" t="s">
        <v>911</v>
      </c>
      <c r="B557" s="500">
        <v>3</v>
      </c>
      <c r="C557" s="4">
        <v>8260</v>
      </c>
      <c r="D557" s="161">
        <f t="shared" si="17"/>
        <v>24780</v>
      </c>
      <c r="E557" s="26"/>
      <c r="F557" s="26"/>
      <c r="G557" s="26"/>
      <c r="H557" s="78"/>
    </row>
    <row r="558" spans="1:8" s="59" customFormat="1" ht="18" customHeight="1">
      <c r="A558" s="501" t="s">
        <v>912</v>
      </c>
      <c r="B558" s="500">
        <v>3</v>
      </c>
      <c r="C558" s="4">
        <v>8260</v>
      </c>
      <c r="D558" s="161">
        <f t="shared" si="17"/>
        <v>24780</v>
      </c>
      <c r="E558" s="26"/>
      <c r="F558" s="26"/>
      <c r="G558" s="26"/>
      <c r="H558" s="78"/>
    </row>
    <row r="559" spans="1:8" s="59" customFormat="1" ht="18" customHeight="1">
      <c r="A559" s="501" t="s">
        <v>913</v>
      </c>
      <c r="B559" s="500">
        <v>2</v>
      </c>
      <c r="C559" s="4">
        <v>8260</v>
      </c>
      <c r="D559" s="161">
        <f t="shared" si="17"/>
        <v>16520</v>
      </c>
      <c r="E559" s="26"/>
      <c r="F559" s="26"/>
      <c r="G559" s="26"/>
      <c r="H559" s="78"/>
    </row>
    <row r="560" spans="1:8" s="59" customFormat="1" ht="18" customHeight="1">
      <c r="A560" s="501" t="s">
        <v>914</v>
      </c>
      <c r="B560" s="500">
        <v>2</v>
      </c>
      <c r="C560" s="4">
        <v>8260</v>
      </c>
      <c r="D560" s="161">
        <f t="shared" si="17"/>
        <v>16520</v>
      </c>
      <c r="E560" s="26"/>
      <c r="F560" s="26"/>
      <c r="G560" s="26"/>
      <c r="H560" s="78"/>
    </row>
    <row r="561" spans="1:8" s="59" customFormat="1" ht="18" customHeight="1">
      <c r="A561" s="501" t="s">
        <v>915</v>
      </c>
      <c r="B561" s="500">
        <v>2</v>
      </c>
      <c r="C561" s="4">
        <v>8260</v>
      </c>
      <c r="D561" s="161">
        <f t="shared" si="17"/>
        <v>16520</v>
      </c>
      <c r="E561" s="26"/>
      <c r="F561" s="26"/>
      <c r="G561" s="26"/>
      <c r="H561" s="78"/>
    </row>
    <row r="562" spans="1:8" s="59" customFormat="1" ht="18" customHeight="1">
      <c r="A562" s="501" t="s">
        <v>916</v>
      </c>
      <c r="B562" s="500">
        <v>2</v>
      </c>
      <c r="C562" s="4">
        <v>8260</v>
      </c>
      <c r="D562" s="161">
        <f t="shared" si="17"/>
        <v>16520</v>
      </c>
      <c r="E562" s="26"/>
      <c r="F562" s="26"/>
      <c r="G562" s="26"/>
      <c r="H562" s="78"/>
    </row>
    <row r="563" spans="1:8" s="59" customFormat="1" ht="18" customHeight="1">
      <c r="A563" s="501" t="s">
        <v>917</v>
      </c>
      <c r="B563" s="500">
        <v>2</v>
      </c>
      <c r="C563" s="4">
        <v>2600</v>
      </c>
      <c r="D563" s="161">
        <f t="shared" si="17"/>
        <v>5200</v>
      </c>
      <c r="E563" s="26"/>
      <c r="F563" s="26"/>
      <c r="G563" s="26"/>
      <c r="H563" s="78"/>
    </row>
    <row r="564" spans="1:8" s="59" customFormat="1" ht="18" customHeight="1">
      <c r="A564" s="501" t="s">
        <v>918</v>
      </c>
      <c r="B564" s="500">
        <v>2</v>
      </c>
      <c r="C564" s="4">
        <v>2600</v>
      </c>
      <c r="D564" s="161">
        <f t="shared" si="17"/>
        <v>5200</v>
      </c>
      <c r="E564" s="26"/>
      <c r="F564" s="26"/>
      <c r="G564" s="26"/>
      <c r="H564" s="78"/>
    </row>
    <row r="565" spans="1:8" s="59" customFormat="1" ht="18" customHeight="1">
      <c r="A565" s="501" t="s">
        <v>919</v>
      </c>
      <c r="B565" s="500">
        <v>2</v>
      </c>
      <c r="C565" s="4">
        <v>4746</v>
      </c>
      <c r="D565" s="161">
        <f t="shared" si="17"/>
        <v>9492</v>
      </c>
      <c r="E565" s="26"/>
      <c r="F565" s="26"/>
      <c r="G565" s="26"/>
      <c r="H565" s="78"/>
    </row>
    <row r="566" spans="1:8" s="59" customFormat="1" ht="18" customHeight="1">
      <c r="A566" s="501" t="s">
        <v>920</v>
      </c>
      <c r="B566" s="500">
        <v>15</v>
      </c>
      <c r="C566" s="4">
        <v>3435</v>
      </c>
      <c r="D566" s="161">
        <f t="shared" si="17"/>
        <v>51525</v>
      </c>
      <c r="E566" s="26"/>
      <c r="F566" s="26"/>
      <c r="G566" s="26"/>
      <c r="H566" s="78"/>
    </row>
    <row r="567" spans="1:8" s="59" customFormat="1" ht="18" customHeight="1">
      <c r="A567" s="501" t="s">
        <v>921</v>
      </c>
      <c r="B567" s="500">
        <v>2</v>
      </c>
      <c r="C567" s="4">
        <v>2450</v>
      </c>
      <c r="D567" s="161">
        <f t="shared" si="17"/>
        <v>4900</v>
      </c>
      <c r="E567" s="26"/>
      <c r="F567" s="26"/>
      <c r="G567" s="26"/>
      <c r="H567" s="78"/>
    </row>
    <row r="568" spans="1:8" s="59" customFormat="1" ht="24.9" customHeight="1">
      <c r="A568" s="502" t="s">
        <v>253</v>
      </c>
      <c r="B568" s="500"/>
      <c r="C568" s="4"/>
      <c r="D568" s="161"/>
      <c r="E568" s="26"/>
      <c r="F568" s="26"/>
      <c r="G568" s="26"/>
      <c r="H568" s="78"/>
    </row>
    <row r="569" spans="1:8" s="59" customFormat="1" ht="18" customHeight="1">
      <c r="A569" s="264" t="s">
        <v>922</v>
      </c>
      <c r="B569" s="280">
        <v>2</v>
      </c>
      <c r="C569" s="193">
        <v>2050000</v>
      </c>
      <c r="D569" s="165">
        <f t="shared" ref="D569" si="18">+B569*C569</f>
        <v>4100000</v>
      </c>
      <c r="E569" s="26"/>
      <c r="F569" s="26"/>
      <c r="G569" s="26"/>
      <c r="H569" s="78"/>
    </row>
    <row r="570" spans="1:8" ht="46.8">
      <c r="A570" s="201" t="s">
        <v>710</v>
      </c>
      <c r="B570" s="201"/>
      <c r="C570" s="201"/>
      <c r="D570" s="198"/>
      <c r="E570" s="197" t="s">
        <v>617</v>
      </c>
      <c r="F570" s="201"/>
      <c r="G570" s="197" t="s">
        <v>832</v>
      </c>
      <c r="H570" s="64"/>
    </row>
    <row r="571" spans="1:8" ht="31.2">
      <c r="A571" s="195" t="s">
        <v>823</v>
      </c>
      <c r="B571" s="195"/>
      <c r="C571" s="195"/>
      <c r="D571" s="203"/>
      <c r="E571" s="197" t="s">
        <v>617</v>
      </c>
      <c r="F571" s="195"/>
      <c r="G571" s="197" t="s">
        <v>832</v>
      </c>
      <c r="H571" s="60"/>
    </row>
    <row r="572" spans="1:8" ht="31.2">
      <c r="A572" s="195" t="s">
        <v>824</v>
      </c>
      <c r="B572" s="195"/>
      <c r="C572" s="195"/>
      <c r="D572" s="203"/>
      <c r="E572" s="197" t="s">
        <v>617</v>
      </c>
      <c r="F572" s="195"/>
      <c r="G572" s="197" t="s">
        <v>832</v>
      </c>
      <c r="H572" s="61"/>
    </row>
    <row r="573" spans="1:8" s="286" customFormat="1" ht="15.6">
      <c r="A573" s="282"/>
      <c r="B573" s="282"/>
      <c r="C573" s="282"/>
      <c r="D573" s="283"/>
      <c r="E573" s="284"/>
      <c r="F573" s="282"/>
      <c r="G573" s="284"/>
      <c r="H573" s="285"/>
    </row>
    <row r="574" spans="1:8" ht="31.2">
      <c r="A574" s="214" t="s">
        <v>13</v>
      </c>
      <c r="B574" s="215"/>
      <c r="C574" s="216"/>
      <c r="D574" s="217">
        <f>+D575+D576</f>
        <v>21338912.09</v>
      </c>
      <c r="E574" s="218"/>
      <c r="F574" s="218"/>
      <c r="G574" s="218"/>
      <c r="H574" s="68"/>
    </row>
    <row r="575" spans="1:8" ht="46.8">
      <c r="A575" s="195" t="s">
        <v>718</v>
      </c>
      <c r="B575" s="195"/>
      <c r="C575" s="195"/>
      <c r="D575" s="203"/>
      <c r="E575" s="197" t="s">
        <v>617</v>
      </c>
      <c r="F575" s="195"/>
      <c r="G575" s="197" t="s">
        <v>832</v>
      </c>
      <c r="H575" s="61"/>
    </row>
    <row r="576" spans="1:8" ht="31.2">
      <c r="A576" s="195" t="s">
        <v>825</v>
      </c>
      <c r="B576" s="195"/>
      <c r="C576" s="195"/>
      <c r="D576" s="198">
        <f>SUM(D577:D597)</f>
        <v>21338912.09</v>
      </c>
      <c r="E576" s="197" t="s">
        <v>617</v>
      </c>
      <c r="F576" s="195"/>
      <c r="G576" s="197" t="s">
        <v>832</v>
      </c>
      <c r="H576" s="61"/>
    </row>
    <row r="577" spans="1:8" s="2" customFormat="1" ht="56.25" customHeight="1">
      <c r="A577" s="153" t="s">
        <v>826</v>
      </c>
      <c r="B577" s="154">
        <v>1</v>
      </c>
      <c r="C577" s="498">
        <f>+'2.7.6.2'!G13</f>
        <v>17506982.09</v>
      </c>
      <c r="D577" s="155">
        <f>+C577*B577</f>
        <v>17506982.09</v>
      </c>
      <c r="E577" s="156"/>
      <c r="F577" s="157"/>
      <c r="G577" s="157"/>
      <c r="H577" s="73" t="s">
        <v>333</v>
      </c>
    </row>
    <row r="578" spans="1:8" s="2" customFormat="1" ht="30">
      <c r="A578" s="166" t="s">
        <v>923</v>
      </c>
      <c r="B578" s="496">
        <v>2</v>
      </c>
      <c r="C578" s="497">
        <v>80000</v>
      </c>
      <c r="D578" s="155">
        <f>+B578*C578</f>
        <v>160000</v>
      </c>
      <c r="E578" s="156"/>
      <c r="F578" s="157"/>
      <c r="G578" s="157"/>
      <c r="H578" s="73"/>
    </row>
    <row r="579" spans="1:8" s="2" customFormat="1" ht="15.6">
      <c r="A579" s="166" t="s">
        <v>974</v>
      </c>
      <c r="B579" s="496">
        <v>1</v>
      </c>
      <c r="C579" s="497">
        <f>450*55</f>
        <v>24750</v>
      </c>
      <c r="D579" s="155">
        <f t="shared" ref="D579:D597" si="19">+B579*C579</f>
        <v>24750</v>
      </c>
      <c r="E579" s="156"/>
      <c r="F579" s="157"/>
      <c r="G579" s="157"/>
      <c r="H579" s="73"/>
    </row>
    <row r="580" spans="1:8" s="2" customFormat="1" ht="15.6">
      <c r="A580" s="166" t="s">
        <v>529</v>
      </c>
      <c r="B580" s="496">
        <v>2</v>
      </c>
      <c r="C580" s="497">
        <f>1500*55</f>
        <v>82500</v>
      </c>
      <c r="D580" s="155">
        <f t="shared" si="19"/>
        <v>165000</v>
      </c>
      <c r="E580" s="156"/>
      <c r="F580" s="157"/>
      <c r="G580" s="157"/>
      <c r="H580" s="73"/>
    </row>
    <row r="581" spans="1:8" s="2" customFormat="1" ht="15.6">
      <c r="A581" s="166" t="s">
        <v>924</v>
      </c>
      <c r="B581" s="496">
        <v>1</v>
      </c>
      <c r="C581" s="497">
        <v>300000</v>
      </c>
      <c r="D581" s="155">
        <f t="shared" si="19"/>
        <v>300000</v>
      </c>
      <c r="E581" s="156"/>
      <c r="F581" s="157"/>
      <c r="G581" s="157"/>
      <c r="H581" s="73"/>
    </row>
    <row r="582" spans="1:8" s="2" customFormat="1" ht="15.6">
      <c r="A582" s="166" t="s">
        <v>925</v>
      </c>
      <c r="B582" s="496">
        <v>2</v>
      </c>
      <c r="C582" s="497">
        <v>55000</v>
      </c>
      <c r="D582" s="155">
        <f t="shared" si="19"/>
        <v>110000</v>
      </c>
      <c r="E582" s="156"/>
      <c r="F582" s="157"/>
      <c r="G582" s="157"/>
      <c r="H582" s="73"/>
    </row>
    <row r="583" spans="1:8" s="2" customFormat="1" ht="15.6">
      <c r="A583" s="166" t="s">
        <v>1093</v>
      </c>
      <c r="B583" s="496">
        <v>2</v>
      </c>
      <c r="C583" s="497">
        <v>55000</v>
      </c>
      <c r="D583" s="155">
        <f t="shared" si="19"/>
        <v>110000</v>
      </c>
      <c r="E583" s="156"/>
      <c r="F583" s="157"/>
      <c r="G583" s="157"/>
      <c r="H583" s="73"/>
    </row>
    <row r="584" spans="1:8" s="2" customFormat="1" ht="15.6">
      <c r="A584" s="166" t="s">
        <v>926</v>
      </c>
      <c r="B584" s="496">
        <v>2</v>
      </c>
      <c r="C584" s="497">
        <v>15000</v>
      </c>
      <c r="D584" s="155">
        <f t="shared" si="19"/>
        <v>30000</v>
      </c>
      <c r="E584" s="156"/>
      <c r="F584" s="157"/>
      <c r="G584" s="157"/>
      <c r="H584" s="73"/>
    </row>
    <row r="585" spans="1:8" s="2" customFormat="1" ht="15.6">
      <c r="A585" s="166" t="s">
        <v>927</v>
      </c>
      <c r="B585" s="496">
        <v>1</v>
      </c>
      <c r="C585" s="497">
        <v>3680</v>
      </c>
      <c r="D585" s="155">
        <f t="shared" si="19"/>
        <v>3680</v>
      </c>
      <c r="E585" s="156"/>
      <c r="F585" s="157"/>
      <c r="G585" s="157"/>
      <c r="H585" s="73"/>
    </row>
    <row r="586" spans="1:8" s="2" customFormat="1" ht="15.6">
      <c r="A586" s="166" t="s">
        <v>928</v>
      </c>
      <c r="B586" s="496">
        <v>1</v>
      </c>
      <c r="C586" s="497">
        <v>67000</v>
      </c>
      <c r="D586" s="155">
        <f t="shared" si="19"/>
        <v>67000</v>
      </c>
      <c r="E586" s="156"/>
      <c r="F586" s="157"/>
      <c r="G586" s="157"/>
      <c r="H586" s="73"/>
    </row>
    <row r="587" spans="1:8" s="2" customFormat="1" ht="15.6">
      <c r="A587" s="166" t="s">
        <v>929</v>
      </c>
      <c r="B587" s="496">
        <v>1</v>
      </c>
      <c r="C587" s="497">
        <f>2800*55</f>
        <v>154000</v>
      </c>
      <c r="D587" s="155">
        <f t="shared" si="19"/>
        <v>154000</v>
      </c>
      <c r="E587" s="156"/>
      <c r="F587" s="157"/>
      <c r="G587" s="157"/>
      <c r="H587" s="73"/>
    </row>
    <row r="588" spans="1:8" s="2" customFormat="1" ht="15.6">
      <c r="A588" s="166" t="s">
        <v>930</v>
      </c>
      <c r="B588" s="496">
        <v>1</v>
      </c>
      <c r="C588" s="497">
        <v>14000</v>
      </c>
      <c r="D588" s="155">
        <f t="shared" si="19"/>
        <v>14000</v>
      </c>
      <c r="E588" s="156"/>
      <c r="F588" s="157"/>
      <c r="G588" s="157"/>
      <c r="H588" s="73"/>
    </row>
    <row r="589" spans="1:8" s="2" customFormat="1" ht="15.6">
      <c r="A589" s="166" t="s">
        <v>931</v>
      </c>
      <c r="B589" s="496">
        <v>3</v>
      </c>
      <c r="C589" s="497">
        <v>45000</v>
      </c>
      <c r="D589" s="155">
        <f t="shared" si="19"/>
        <v>135000</v>
      </c>
      <c r="E589" s="156"/>
      <c r="F589" s="157"/>
      <c r="G589" s="157"/>
      <c r="H589" s="73"/>
    </row>
    <row r="590" spans="1:8" s="2" customFormat="1" ht="15.6">
      <c r="A590" s="166" t="s">
        <v>932</v>
      </c>
      <c r="B590" s="496">
        <v>96</v>
      </c>
      <c r="C590" s="497">
        <v>20000</v>
      </c>
      <c r="D590" s="155">
        <f t="shared" si="19"/>
        <v>1920000</v>
      </c>
      <c r="E590" s="156"/>
      <c r="F590" s="157"/>
      <c r="G590" s="157"/>
      <c r="H590" s="73"/>
    </row>
    <row r="591" spans="1:8" s="2" customFormat="1" ht="15.6">
      <c r="A591" s="166" t="s">
        <v>933</v>
      </c>
      <c r="B591" s="496">
        <v>1</v>
      </c>
      <c r="C591" s="497">
        <v>50000</v>
      </c>
      <c r="D591" s="155">
        <f t="shared" si="19"/>
        <v>50000</v>
      </c>
      <c r="E591" s="156"/>
      <c r="F591" s="157"/>
      <c r="G591" s="157"/>
      <c r="H591" s="73"/>
    </row>
    <row r="592" spans="1:8" s="2" customFormat="1" ht="15.6">
      <c r="A592" s="166" t="s">
        <v>934</v>
      </c>
      <c r="B592" s="496">
        <v>4</v>
      </c>
      <c r="C592" s="497">
        <v>2500</v>
      </c>
      <c r="D592" s="155">
        <f t="shared" si="19"/>
        <v>10000</v>
      </c>
      <c r="E592" s="156"/>
      <c r="F592" s="157"/>
      <c r="G592" s="157"/>
      <c r="H592" s="73"/>
    </row>
    <row r="593" spans="1:8" s="2" customFormat="1" ht="15.6">
      <c r="A593" s="166" t="s">
        <v>1005</v>
      </c>
      <c r="B593" s="496">
        <v>150</v>
      </c>
      <c r="C593" s="497">
        <v>1800</v>
      </c>
      <c r="D593" s="155">
        <f t="shared" si="19"/>
        <v>270000</v>
      </c>
      <c r="E593" s="156"/>
      <c r="F593" s="157"/>
      <c r="G593" s="157"/>
      <c r="H593" s="73"/>
    </row>
    <row r="594" spans="1:8" s="2" customFormat="1" ht="15.6">
      <c r="A594" s="166" t="s">
        <v>935</v>
      </c>
      <c r="B594" s="496">
        <v>200</v>
      </c>
      <c r="C594" s="497">
        <v>450</v>
      </c>
      <c r="D594" s="155">
        <f t="shared" si="19"/>
        <v>90000</v>
      </c>
      <c r="E594" s="156"/>
      <c r="F594" s="157"/>
      <c r="G594" s="157"/>
      <c r="H594" s="73"/>
    </row>
    <row r="595" spans="1:8" s="2" customFormat="1" ht="15.6">
      <c r="A595" s="166" t="s">
        <v>943</v>
      </c>
      <c r="B595" s="496">
        <v>20</v>
      </c>
      <c r="C595" s="497">
        <v>6800</v>
      </c>
      <c r="D595" s="155">
        <f t="shared" si="19"/>
        <v>136000</v>
      </c>
      <c r="E595" s="156"/>
      <c r="F595" s="157"/>
      <c r="G595" s="157"/>
      <c r="H595" s="73"/>
    </row>
    <row r="596" spans="1:8" s="2" customFormat="1" ht="15.6">
      <c r="A596" s="166" t="s">
        <v>936</v>
      </c>
      <c r="B596" s="496">
        <v>150</v>
      </c>
      <c r="C596" s="497">
        <v>250</v>
      </c>
      <c r="D596" s="155">
        <f t="shared" si="19"/>
        <v>37500</v>
      </c>
      <c r="E596" s="156"/>
      <c r="F596" s="157"/>
      <c r="G596" s="157"/>
      <c r="H596" s="73"/>
    </row>
    <row r="597" spans="1:8" s="2" customFormat="1" ht="15.6">
      <c r="A597" s="166" t="s">
        <v>1006</v>
      </c>
      <c r="B597" s="496">
        <v>3</v>
      </c>
      <c r="C597" s="497">
        <v>15000</v>
      </c>
      <c r="D597" s="155">
        <f t="shared" si="19"/>
        <v>45000</v>
      </c>
      <c r="E597" s="156"/>
      <c r="F597" s="157"/>
      <c r="G597" s="157"/>
      <c r="H597" s="73"/>
    </row>
    <row r="598" spans="1:8" ht="31.2">
      <c r="A598" s="214" t="s">
        <v>14</v>
      </c>
      <c r="B598" s="215"/>
      <c r="C598" s="216"/>
      <c r="D598" s="217">
        <f>+D599</f>
        <v>10786590</v>
      </c>
      <c r="E598" s="218"/>
      <c r="F598" s="218"/>
      <c r="G598" s="218"/>
      <c r="H598" s="68"/>
    </row>
    <row r="599" spans="1:8" ht="31.2">
      <c r="A599" s="195" t="s">
        <v>861</v>
      </c>
      <c r="B599" s="195"/>
      <c r="C599" s="195"/>
      <c r="D599" s="198">
        <f>+D600</f>
        <v>10786590</v>
      </c>
      <c r="E599" s="197" t="s">
        <v>617</v>
      </c>
      <c r="F599" s="195"/>
      <c r="G599" s="197" t="s">
        <v>832</v>
      </c>
      <c r="H599" s="61"/>
    </row>
    <row r="600" spans="1:8" s="2" customFormat="1" ht="62.4">
      <c r="A600" s="153" t="s">
        <v>862</v>
      </c>
      <c r="B600" s="154"/>
      <c r="C600" s="155"/>
      <c r="D600" s="155">
        <f>SUM(D601:D608)</f>
        <v>10786590</v>
      </c>
      <c r="E600" s="156"/>
      <c r="F600" s="157"/>
      <c r="G600" s="157"/>
      <c r="H600" s="73"/>
    </row>
    <row r="601" spans="1:8" s="1" customFormat="1" ht="20.25" customHeight="1">
      <c r="A601" s="163" t="s">
        <v>334</v>
      </c>
      <c r="B601" s="164">
        <v>4</v>
      </c>
      <c r="C601" s="165">
        <v>1500</v>
      </c>
      <c r="D601" s="161">
        <f>+C601*B601</f>
        <v>6000</v>
      </c>
      <c r="E601" s="26"/>
      <c r="F601" s="26"/>
      <c r="G601" s="26"/>
      <c r="H601" s="78"/>
    </row>
    <row r="602" spans="1:8" s="1" customFormat="1" ht="20.25" customHeight="1">
      <c r="A602" s="163" t="s">
        <v>335</v>
      </c>
      <c r="B602" s="164">
        <v>4</v>
      </c>
      <c r="C602" s="165">
        <v>800</v>
      </c>
      <c r="D602" s="161">
        <f t="shared" ref="D602:D608" si="20">+C602*B602</f>
        <v>3200</v>
      </c>
      <c r="E602" s="26"/>
      <c r="F602" s="26"/>
      <c r="G602" s="26"/>
      <c r="H602" s="78"/>
    </row>
    <row r="603" spans="1:8" s="1" customFormat="1" ht="20.25" customHeight="1">
      <c r="A603" s="163" t="s">
        <v>336</v>
      </c>
      <c r="B603" s="164">
        <v>4</v>
      </c>
      <c r="C603" s="165">
        <v>3935</v>
      </c>
      <c r="D603" s="161">
        <f t="shared" si="20"/>
        <v>15740</v>
      </c>
      <c r="E603" s="26"/>
      <c r="F603" s="26"/>
      <c r="G603" s="26"/>
      <c r="H603" s="78"/>
    </row>
    <row r="604" spans="1:8" s="1" customFormat="1" ht="20.25" customHeight="1">
      <c r="A604" s="163" t="s">
        <v>252</v>
      </c>
      <c r="B604" s="164">
        <v>8</v>
      </c>
      <c r="C604" s="165">
        <v>375</v>
      </c>
      <c r="D604" s="161">
        <f t="shared" si="20"/>
        <v>3000</v>
      </c>
      <c r="E604" s="26"/>
      <c r="F604" s="26"/>
      <c r="G604" s="26"/>
      <c r="H604" s="78"/>
    </row>
    <row r="605" spans="1:8" s="1" customFormat="1" ht="20.25" customHeight="1">
      <c r="A605" s="163" t="s">
        <v>863</v>
      </c>
      <c r="B605" s="164">
        <v>156</v>
      </c>
      <c r="C605" s="160">
        <v>3250</v>
      </c>
      <c r="D605" s="161">
        <f>+C605*B605</f>
        <v>507000</v>
      </c>
      <c r="E605" s="26"/>
      <c r="F605" s="26"/>
      <c r="G605" s="26"/>
      <c r="H605" s="78"/>
    </row>
    <row r="606" spans="1:8" s="1" customFormat="1" ht="20.25" customHeight="1">
      <c r="A606" s="163" t="s">
        <v>864</v>
      </c>
      <c r="B606" s="164">
        <v>11</v>
      </c>
      <c r="C606" s="4">
        <v>150</v>
      </c>
      <c r="D606" s="161">
        <f t="shared" si="20"/>
        <v>1650</v>
      </c>
      <c r="E606" s="26"/>
      <c r="F606" s="26"/>
      <c r="G606" s="26"/>
      <c r="H606" s="78"/>
    </row>
    <row r="607" spans="1:8" s="1" customFormat="1" ht="20.25" customHeight="1">
      <c r="A607" s="163" t="s">
        <v>1360</v>
      </c>
      <c r="B607" s="159">
        <v>20</v>
      </c>
      <c r="C607" s="161"/>
      <c r="D607" s="161">
        <f t="shared" si="20"/>
        <v>0</v>
      </c>
      <c r="E607" s="26"/>
      <c r="F607" s="26"/>
      <c r="G607" s="26"/>
      <c r="H607" s="78" t="s">
        <v>338</v>
      </c>
    </row>
    <row r="608" spans="1:8" s="1" customFormat="1" ht="20.25" customHeight="1">
      <c r="A608" s="163" t="s">
        <v>937</v>
      </c>
      <c r="B608" s="159">
        <v>5</v>
      </c>
      <c r="C608" s="4">
        <v>2050000</v>
      </c>
      <c r="D608" s="161">
        <f t="shared" si="20"/>
        <v>10250000</v>
      </c>
      <c r="E608" s="26"/>
      <c r="F608" s="26"/>
      <c r="G608" s="26"/>
      <c r="H608" s="78"/>
    </row>
    <row r="609" spans="1:8" ht="31.2">
      <c r="A609" s="214" t="s">
        <v>512</v>
      </c>
      <c r="B609" s="215"/>
      <c r="C609" s="216"/>
      <c r="D609" s="217">
        <f>+D610+D636+D638+D639</f>
        <v>22262937.5</v>
      </c>
      <c r="E609" s="218"/>
      <c r="F609" s="218"/>
      <c r="G609" s="218"/>
      <c r="H609" s="68"/>
    </row>
    <row r="610" spans="1:8" ht="31.2">
      <c r="A610" s="195" t="s">
        <v>729</v>
      </c>
      <c r="B610" s="195"/>
      <c r="C610" s="195"/>
      <c r="D610" s="198">
        <f>+D611</f>
        <v>20212937.5</v>
      </c>
      <c r="E610" s="197" t="s">
        <v>617</v>
      </c>
      <c r="F610" s="195"/>
      <c r="G610" s="197" t="s">
        <v>832</v>
      </c>
      <c r="H610" s="61"/>
    </row>
    <row r="611" spans="1:8" s="2" customFormat="1" ht="31.2">
      <c r="A611" s="153" t="s">
        <v>939</v>
      </c>
      <c r="B611" s="154"/>
      <c r="C611" s="155"/>
      <c r="D611" s="155">
        <f>SUM(D612:D635)</f>
        <v>20212937.5</v>
      </c>
      <c r="E611" s="156"/>
      <c r="F611" s="157"/>
      <c r="G611" s="157"/>
      <c r="H611" s="108" t="s">
        <v>339</v>
      </c>
    </row>
    <row r="612" spans="1:8" s="1" customFormat="1" ht="18" customHeight="1">
      <c r="A612" s="158" t="s">
        <v>340</v>
      </c>
      <c r="B612" s="159">
        <v>5</v>
      </c>
      <c r="C612" s="160">
        <v>2362360</v>
      </c>
      <c r="D612" s="161">
        <f>+C612*B612</f>
        <v>11811800</v>
      </c>
      <c r="E612" s="26"/>
      <c r="F612" s="26"/>
      <c r="G612" s="26"/>
      <c r="H612" s="109"/>
    </row>
    <row r="613" spans="1:8" s="1" customFormat="1" ht="18" customHeight="1">
      <c r="A613" s="158" t="s">
        <v>254</v>
      </c>
      <c r="B613" s="159">
        <v>70</v>
      </c>
      <c r="C613" s="160">
        <v>110050</v>
      </c>
      <c r="D613" s="161">
        <f>+C613*B613</f>
        <v>7703500</v>
      </c>
      <c r="E613" s="26"/>
      <c r="F613" s="26"/>
      <c r="G613" s="26"/>
      <c r="H613" s="109"/>
    </row>
    <row r="614" spans="1:8" s="1" customFormat="1" ht="35.25" customHeight="1">
      <c r="A614" s="158" t="s">
        <v>341</v>
      </c>
      <c r="B614" s="159">
        <v>1</v>
      </c>
      <c r="C614" s="160">
        <f>5000*55</f>
        <v>275000</v>
      </c>
      <c r="D614" s="161">
        <f t="shared" ref="D614:D637" si="21">+C614*B614</f>
        <v>275000</v>
      </c>
      <c r="E614" s="26"/>
      <c r="F614" s="26"/>
      <c r="G614" s="26"/>
      <c r="H614" s="109"/>
    </row>
    <row r="615" spans="1:8" s="1" customFormat="1" ht="18" customHeight="1">
      <c r="A615" s="158" t="s">
        <v>342</v>
      </c>
      <c r="B615" s="159">
        <v>5</v>
      </c>
      <c r="C615" s="160">
        <v>7000</v>
      </c>
      <c r="D615" s="161">
        <f t="shared" si="21"/>
        <v>35000</v>
      </c>
      <c r="E615" s="26"/>
      <c r="F615" s="26"/>
      <c r="G615" s="26"/>
      <c r="H615" s="109"/>
    </row>
    <row r="616" spans="1:8" s="1" customFormat="1" ht="18" customHeight="1">
      <c r="A616" s="158" t="s">
        <v>336</v>
      </c>
      <c r="B616" s="159">
        <v>5</v>
      </c>
      <c r="C616" s="160">
        <v>2830</v>
      </c>
      <c r="D616" s="161">
        <f t="shared" si="21"/>
        <v>14150</v>
      </c>
      <c r="E616" s="26"/>
      <c r="F616" s="26"/>
      <c r="G616" s="26"/>
      <c r="H616" s="109"/>
    </row>
    <row r="617" spans="1:8" s="1" customFormat="1" ht="18" customHeight="1">
      <c r="A617" s="158" t="s">
        <v>343</v>
      </c>
      <c r="B617" s="159">
        <v>5</v>
      </c>
      <c r="C617" s="160">
        <v>1390.5</v>
      </c>
      <c r="D617" s="161">
        <f t="shared" si="21"/>
        <v>6952.5</v>
      </c>
      <c r="E617" s="26"/>
      <c r="F617" s="26"/>
      <c r="G617" s="26"/>
      <c r="H617" s="109"/>
    </row>
    <row r="618" spans="1:8" s="1" customFormat="1" ht="18" customHeight="1">
      <c r="A618" s="158" t="s">
        <v>344</v>
      </c>
      <c r="B618" s="159">
        <v>5</v>
      </c>
      <c r="C618" s="160">
        <v>179</v>
      </c>
      <c r="D618" s="161">
        <f t="shared" si="21"/>
        <v>895</v>
      </c>
      <c r="E618" s="26"/>
      <c r="F618" s="26"/>
      <c r="G618" s="26"/>
      <c r="H618" s="109"/>
    </row>
    <row r="619" spans="1:8" s="1" customFormat="1" ht="18" customHeight="1">
      <c r="A619" s="158" t="s">
        <v>345</v>
      </c>
      <c r="B619" s="159">
        <v>5</v>
      </c>
      <c r="C619" s="160">
        <v>314</v>
      </c>
      <c r="D619" s="161">
        <f t="shared" si="21"/>
        <v>1570</v>
      </c>
      <c r="E619" s="26"/>
      <c r="F619" s="26"/>
      <c r="G619" s="26"/>
      <c r="H619" s="109"/>
    </row>
    <row r="620" spans="1:8" s="1" customFormat="1" ht="18" customHeight="1">
      <c r="A620" s="158" t="s">
        <v>346</v>
      </c>
      <c r="B620" s="159">
        <v>25</v>
      </c>
      <c r="C620" s="160">
        <v>352</v>
      </c>
      <c r="D620" s="161">
        <f t="shared" si="21"/>
        <v>8800</v>
      </c>
      <c r="E620" s="26"/>
      <c r="F620" s="26"/>
      <c r="G620" s="26"/>
      <c r="H620" s="109"/>
    </row>
    <row r="621" spans="1:8" s="1" customFormat="1" ht="18" customHeight="1">
      <c r="A621" s="158" t="s">
        <v>347</v>
      </c>
      <c r="B621" s="159">
        <v>5</v>
      </c>
      <c r="C621" s="160">
        <v>1540</v>
      </c>
      <c r="D621" s="161">
        <f t="shared" si="21"/>
        <v>7700</v>
      </c>
      <c r="E621" s="26"/>
      <c r="F621" s="26"/>
      <c r="G621" s="26"/>
      <c r="H621" s="109"/>
    </row>
    <row r="622" spans="1:8" s="1" customFormat="1" ht="18" customHeight="1">
      <c r="A622" s="158" t="s">
        <v>348</v>
      </c>
      <c r="B622" s="159">
        <v>5</v>
      </c>
      <c r="C622" s="160">
        <v>1790</v>
      </c>
      <c r="D622" s="161">
        <f t="shared" si="21"/>
        <v>8950</v>
      </c>
      <c r="E622" s="26"/>
      <c r="F622" s="26"/>
      <c r="G622" s="26"/>
      <c r="H622" s="109"/>
    </row>
    <row r="623" spans="1:8" s="1" customFormat="1" ht="18" customHeight="1">
      <c r="A623" s="158" t="s">
        <v>349</v>
      </c>
      <c r="B623" s="159">
        <v>5</v>
      </c>
      <c r="C623" s="160">
        <v>165</v>
      </c>
      <c r="D623" s="161">
        <f t="shared" si="21"/>
        <v>825</v>
      </c>
      <c r="E623" s="26"/>
      <c r="F623" s="26"/>
      <c r="G623" s="26"/>
      <c r="H623" s="109"/>
    </row>
    <row r="624" spans="1:8" s="1" customFormat="1" ht="18" customHeight="1">
      <c r="A624" s="158" t="s">
        <v>350</v>
      </c>
      <c r="B624" s="159">
        <v>25</v>
      </c>
      <c r="C624" s="160">
        <v>743</v>
      </c>
      <c r="D624" s="161">
        <f t="shared" si="21"/>
        <v>18575</v>
      </c>
      <c r="E624" s="26"/>
      <c r="F624" s="26"/>
      <c r="G624" s="26"/>
      <c r="H624" s="109"/>
    </row>
    <row r="625" spans="1:8" s="1" customFormat="1" ht="18" customHeight="1">
      <c r="A625" s="158" t="s">
        <v>351</v>
      </c>
      <c r="B625" s="159">
        <v>10</v>
      </c>
      <c r="C625" s="160">
        <v>7400</v>
      </c>
      <c r="D625" s="161">
        <f t="shared" si="21"/>
        <v>74000</v>
      </c>
      <c r="E625" s="26"/>
      <c r="F625" s="26"/>
      <c r="G625" s="26"/>
      <c r="H625" s="109"/>
    </row>
    <row r="626" spans="1:8" s="1" customFormat="1" ht="18" customHeight="1">
      <c r="A626" s="158" t="s">
        <v>352</v>
      </c>
      <c r="B626" s="159">
        <v>20</v>
      </c>
      <c r="C626" s="160">
        <v>1100</v>
      </c>
      <c r="D626" s="161">
        <f t="shared" si="21"/>
        <v>22000</v>
      </c>
      <c r="E626" s="26"/>
      <c r="F626" s="26"/>
      <c r="G626" s="26"/>
      <c r="H626" s="109"/>
    </row>
    <row r="627" spans="1:8" s="1" customFormat="1" ht="18" customHeight="1">
      <c r="A627" s="158" t="s">
        <v>353</v>
      </c>
      <c r="B627" s="159">
        <v>10</v>
      </c>
      <c r="C627" s="160">
        <v>595</v>
      </c>
      <c r="D627" s="161">
        <f t="shared" si="21"/>
        <v>5950</v>
      </c>
      <c r="E627" s="26"/>
      <c r="F627" s="26"/>
      <c r="G627" s="26"/>
      <c r="H627" s="109"/>
    </row>
    <row r="628" spans="1:8" s="1" customFormat="1" ht="18" customHeight="1">
      <c r="A628" s="158" t="s">
        <v>354</v>
      </c>
      <c r="B628" s="159">
        <v>10</v>
      </c>
      <c r="C628" s="160">
        <v>1235</v>
      </c>
      <c r="D628" s="161">
        <f t="shared" si="21"/>
        <v>12350</v>
      </c>
      <c r="E628" s="26"/>
      <c r="F628" s="26"/>
      <c r="G628" s="26"/>
      <c r="H628" s="109"/>
    </row>
    <row r="629" spans="1:8" s="1" customFormat="1" ht="18" customHeight="1">
      <c r="A629" s="158" t="s">
        <v>355</v>
      </c>
      <c r="B629" s="159">
        <v>5</v>
      </c>
      <c r="C629" s="160">
        <v>281</v>
      </c>
      <c r="D629" s="161">
        <f t="shared" si="21"/>
        <v>1405</v>
      </c>
      <c r="E629" s="26"/>
      <c r="F629" s="26"/>
      <c r="G629" s="26"/>
      <c r="H629" s="109"/>
    </row>
    <row r="630" spans="1:8" s="1" customFormat="1" ht="18" customHeight="1">
      <c r="A630" s="158" t="s">
        <v>356</v>
      </c>
      <c r="B630" s="159">
        <v>5</v>
      </c>
      <c r="C630" s="160">
        <v>585</v>
      </c>
      <c r="D630" s="161">
        <f t="shared" si="21"/>
        <v>2925</v>
      </c>
      <c r="E630" s="26"/>
      <c r="F630" s="26"/>
      <c r="G630" s="26"/>
      <c r="H630" s="109"/>
    </row>
    <row r="631" spans="1:8" s="1" customFormat="1" ht="18" customHeight="1">
      <c r="A631" s="158" t="s">
        <v>357</v>
      </c>
      <c r="B631" s="159">
        <v>25</v>
      </c>
      <c r="C631" s="160">
        <v>1900</v>
      </c>
      <c r="D631" s="161">
        <f t="shared" si="21"/>
        <v>47500</v>
      </c>
      <c r="E631" s="26"/>
      <c r="F631" s="26"/>
      <c r="G631" s="26"/>
      <c r="H631" s="109"/>
    </row>
    <row r="632" spans="1:8" s="1" customFormat="1" ht="18" customHeight="1">
      <c r="A632" s="158" t="s">
        <v>358</v>
      </c>
      <c r="B632" s="159">
        <v>5</v>
      </c>
      <c r="C632" s="160">
        <v>1062</v>
      </c>
      <c r="D632" s="161">
        <f t="shared" si="21"/>
        <v>5310</v>
      </c>
      <c r="E632" s="26"/>
      <c r="F632" s="26"/>
      <c r="G632" s="26"/>
      <c r="H632" s="109"/>
    </row>
    <row r="633" spans="1:8" s="1" customFormat="1" ht="18" customHeight="1">
      <c r="A633" s="162" t="s">
        <v>337</v>
      </c>
      <c r="B633" s="159">
        <v>100</v>
      </c>
      <c r="C633" s="160">
        <v>375</v>
      </c>
      <c r="D633" s="161">
        <f t="shared" si="21"/>
        <v>37500</v>
      </c>
      <c r="E633" s="26"/>
      <c r="F633" s="26"/>
      <c r="G633" s="26"/>
      <c r="H633" s="109"/>
    </row>
    <row r="634" spans="1:8" s="1" customFormat="1" ht="18" customHeight="1">
      <c r="A634" s="158" t="s">
        <v>359</v>
      </c>
      <c r="B634" s="159">
        <v>5</v>
      </c>
      <c r="C634" s="160">
        <v>20506</v>
      </c>
      <c r="D634" s="161">
        <f t="shared" si="21"/>
        <v>102530</v>
      </c>
      <c r="E634" s="26"/>
      <c r="F634" s="26"/>
      <c r="G634" s="26"/>
      <c r="H634" s="109"/>
    </row>
    <row r="635" spans="1:8" s="1" customFormat="1" ht="18" customHeight="1">
      <c r="A635" s="158" t="s">
        <v>360</v>
      </c>
      <c r="B635" s="159">
        <v>5</v>
      </c>
      <c r="C635" s="160">
        <v>1550</v>
      </c>
      <c r="D635" s="161">
        <f t="shared" si="21"/>
        <v>7750</v>
      </c>
      <c r="E635" s="26"/>
      <c r="F635" s="26"/>
      <c r="G635" s="26"/>
      <c r="H635" s="109"/>
    </row>
    <row r="636" spans="1:8" ht="31.2">
      <c r="A636" s="195" t="s">
        <v>940</v>
      </c>
      <c r="B636" s="195"/>
      <c r="C636" s="195"/>
      <c r="D636" s="198">
        <f>+D637</f>
        <v>2050000</v>
      </c>
      <c r="E636" s="197" t="s">
        <v>617</v>
      </c>
      <c r="F636" s="195"/>
      <c r="G636" s="197" t="s">
        <v>832</v>
      </c>
      <c r="H636" s="61"/>
    </row>
    <row r="637" spans="1:8" s="266" customFormat="1" ht="15">
      <c r="A637" s="252" t="s">
        <v>922</v>
      </c>
      <c r="B637" s="287">
        <v>1</v>
      </c>
      <c r="C637" s="4">
        <v>2050000</v>
      </c>
      <c r="D637" s="161">
        <f t="shared" si="21"/>
        <v>2050000</v>
      </c>
      <c r="E637" s="26"/>
      <c r="F637" s="252"/>
      <c r="G637" s="26"/>
      <c r="H637" s="252"/>
    </row>
    <row r="638" spans="1:8" ht="31.2">
      <c r="A638" s="195" t="s">
        <v>941</v>
      </c>
      <c r="B638" s="195"/>
      <c r="C638" s="195"/>
      <c r="D638" s="203"/>
      <c r="E638" s="197" t="s">
        <v>617</v>
      </c>
      <c r="F638" s="195"/>
      <c r="G638" s="197" t="s">
        <v>832</v>
      </c>
      <c r="H638" s="61"/>
    </row>
    <row r="639" spans="1:8" ht="46.8">
      <c r="A639" s="195" t="s">
        <v>942</v>
      </c>
      <c r="B639" s="195"/>
      <c r="C639" s="195"/>
      <c r="D639" s="203"/>
      <c r="E639" s="197" t="s">
        <v>617</v>
      </c>
      <c r="F639" s="195"/>
      <c r="G639" s="197" t="s">
        <v>832</v>
      </c>
      <c r="H639" s="61"/>
    </row>
    <row r="640" spans="1:8" ht="15.6">
      <c r="A640" s="610" t="s">
        <v>122</v>
      </c>
      <c r="B640" s="611"/>
      <c r="C640" s="612"/>
      <c r="D640" s="219">
        <f>+D609+D598+D574+D519+D511+D474+D135+D9</f>
        <v>4245984695.4066663</v>
      </c>
      <c r="E640" s="65"/>
      <c r="F640" s="65"/>
      <c r="G640" s="65"/>
      <c r="H640" s="65"/>
    </row>
    <row r="644" spans="4:6" hidden="1"/>
    <row r="645" spans="4:6" ht="15.6" hidden="1">
      <c r="D645" s="204">
        <v>10726800</v>
      </c>
    </row>
    <row r="646" spans="4:6" ht="15.6" hidden="1">
      <c r="D646" s="204">
        <v>4051100</v>
      </c>
    </row>
    <row r="647" spans="4:6" ht="15.6" hidden="1">
      <c r="D647" s="204">
        <v>3823555</v>
      </c>
    </row>
    <row r="648" spans="4:6" ht="15.6" hidden="1">
      <c r="D648" s="204">
        <f>SUM(D645:D647)</f>
        <v>18601455</v>
      </c>
    </row>
    <row r="649" spans="4:6" ht="15.6" hidden="1">
      <c r="D649" s="204"/>
    </row>
    <row r="650" spans="4:6" hidden="1">
      <c r="F650" s="281">
        <f>+D640+D648</f>
        <v>4264586150.4066663</v>
      </c>
    </row>
  </sheetData>
  <mergeCells count="15">
    <mergeCell ref="A640:C640"/>
    <mergeCell ref="A7:A8"/>
    <mergeCell ref="B7:B8"/>
    <mergeCell ref="E7:E8"/>
    <mergeCell ref="F7:F8"/>
    <mergeCell ref="D512:D513"/>
    <mergeCell ref="B512:B513"/>
    <mergeCell ref="C512:C513"/>
    <mergeCell ref="H7:H8"/>
    <mergeCell ref="G7:G8"/>
    <mergeCell ref="A1:G1"/>
    <mergeCell ref="A2:G2"/>
    <mergeCell ref="A3:G3"/>
    <mergeCell ref="A4:G4"/>
    <mergeCell ref="B6:G6"/>
  </mergeCells>
  <printOptions horizontalCentered="1"/>
  <pageMargins left="0.15748031496062992" right="0.11811023622047245" top="0.27559055118110237" bottom="0.23622047244094491" header="0.15748031496062992" footer="0.15748031496062992"/>
  <pageSetup paperSize="137" scale="75" fitToWidth="2" fitToHeight="2" orientation="portrait" horizontalDpi="4294967293" r:id="rId1"/>
  <rowBreaks count="2" manualBreakCount="2">
    <brk id="471" max="6" man="1"/>
    <brk id="597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"/>
  <sheetViews>
    <sheetView zoomScaleNormal="100" workbookViewId="0">
      <selection activeCell="D33" sqref="D33"/>
    </sheetView>
  </sheetViews>
  <sheetFormatPr baseColWidth="10" defaultColWidth="11.44140625" defaultRowHeight="13.8"/>
  <cols>
    <col min="1" max="1" width="4.44140625" style="113" customWidth="1"/>
    <col min="2" max="2" width="11.88671875" style="113" customWidth="1"/>
    <col min="3" max="3" width="58.44140625" style="113" customWidth="1"/>
    <col min="4" max="4" width="20.6640625" style="113" customWidth="1"/>
    <col min="5" max="5" width="16.44140625" style="113" bestFit="1" customWidth="1"/>
    <col min="6" max="6" width="13.44140625" style="113" bestFit="1" customWidth="1"/>
    <col min="7" max="16384" width="11.44140625" style="113"/>
  </cols>
  <sheetData>
    <row r="1" spans="2:7" s="115" customFormat="1" ht="19.5" customHeight="1">
      <c r="B1" s="620" t="s">
        <v>558</v>
      </c>
      <c r="C1" s="620"/>
      <c r="D1" s="620"/>
      <c r="G1" s="116"/>
    </row>
    <row r="2" spans="2:7" ht="21.75" customHeight="1">
      <c r="C2" s="117" t="s">
        <v>559</v>
      </c>
    </row>
    <row r="3" spans="2:7" s="114" customFormat="1" ht="20.100000000000001" customHeight="1">
      <c r="B3" s="118" t="s">
        <v>560</v>
      </c>
      <c r="C3" s="118" t="s">
        <v>561</v>
      </c>
      <c r="D3" s="119" t="s">
        <v>562</v>
      </c>
    </row>
    <row r="4" spans="2:7" ht="15" customHeight="1">
      <c r="B4" s="128" t="s">
        <v>563</v>
      </c>
      <c r="C4" s="129" t="s">
        <v>564</v>
      </c>
      <c r="D4" s="130">
        <v>157030462.80000001</v>
      </c>
    </row>
    <row r="5" spans="2:7" ht="15" customHeight="1">
      <c r="B5" s="128" t="s">
        <v>565</v>
      </c>
      <c r="C5" s="129" t="s">
        <v>566</v>
      </c>
      <c r="D5" s="131">
        <v>6786000</v>
      </c>
    </row>
    <row r="6" spans="2:7" ht="15" customHeight="1">
      <c r="B6" s="128" t="s">
        <v>567</v>
      </c>
      <c r="C6" s="132" t="s">
        <v>568</v>
      </c>
      <c r="D6" s="131">
        <v>18000000</v>
      </c>
    </row>
    <row r="7" spans="2:7" ht="15" customHeight="1">
      <c r="B7" s="128" t="s">
        <v>569</v>
      </c>
      <c r="C7" s="129" t="s">
        <v>570</v>
      </c>
      <c r="D7" s="131"/>
    </row>
    <row r="8" spans="2:7" ht="15" customHeight="1">
      <c r="B8" s="128" t="s">
        <v>567</v>
      </c>
      <c r="C8" s="129" t="s">
        <v>571</v>
      </c>
      <c r="D8" s="131"/>
    </row>
    <row r="9" spans="2:7" ht="15" customHeight="1">
      <c r="B9" s="128" t="s">
        <v>572</v>
      </c>
      <c r="C9" s="129" t="s">
        <v>573</v>
      </c>
      <c r="D9" s="131"/>
    </row>
    <row r="10" spans="2:7" ht="15" customHeight="1">
      <c r="B10" s="128" t="s">
        <v>572</v>
      </c>
      <c r="C10" s="129" t="s">
        <v>574</v>
      </c>
      <c r="D10" s="131"/>
    </row>
    <row r="11" spans="2:7" ht="15" customHeight="1">
      <c r="B11" s="128"/>
      <c r="C11" s="129"/>
      <c r="D11" s="131"/>
    </row>
    <row r="12" spans="2:7" ht="15" customHeight="1">
      <c r="B12" s="128" t="s">
        <v>575</v>
      </c>
      <c r="C12" s="129" t="s">
        <v>576</v>
      </c>
      <c r="D12" s="131">
        <v>6610000</v>
      </c>
    </row>
    <row r="13" spans="2:7" ht="15" customHeight="1">
      <c r="B13" s="128" t="s">
        <v>575</v>
      </c>
      <c r="C13" s="129" t="s">
        <v>577</v>
      </c>
      <c r="D13" s="131">
        <v>17103200</v>
      </c>
    </row>
    <row r="14" spans="2:7" ht="15" customHeight="1">
      <c r="B14" s="128" t="s">
        <v>578</v>
      </c>
      <c r="C14" s="129" t="s">
        <v>579</v>
      </c>
      <c r="D14" s="131">
        <v>2110044</v>
      </c>
    </row>
    <row r="15" spans="2:7" ht="15" customHeight="1">
      <c r="B15" s="128"/>
      <c r="C15" s="129"/>
      <c r="D15" s="130"/>
    </row>
    <row r="16" spans="2:7" ht="15" customHeight="1">
      <c r="B16" s="128" t="s">
        <v>580</v>
      </c>
      <c r="C16" s="129" t="s">
        <v>581</v>
      </c>
      <c r="D16" s="131">
        <v>127670400</v>
      </c>
      <c r="F16" s="113">
        <f>+D16/3432</f>
        <v>37200</v>
      </c>
    </row>
    <row r="17" spans="2:6" ht="15" customHeight="1">
      <c r="B17" s="129"/>
      <c r="C17" s="129"/>
      <c r="D17" s="129"/>
    </row>
    <row r="18" spans="2:6" ht="15" customHeight="1">
      <c r="B18" s="128" t="s">
        <v>582</v>
      </c>
      <c r="C18" s="129" t="s">
        <v>583</v>
      </c>
      <c r="D18" s="131">
        <v>108279600</v>
      </c>
    </row>
    <row r="19" spans="2:6" ht="15" customHeight="1">
      <c r="B19" s="128" t="s">
        <v>584</v>
      </c>
      <c r="C19" s="129" t="s">
        <v>585</v>
      </c>
      <c r="D19" s="131">
        <v>85113600</v>
      </c>
    </row>
    <row r="20" spans="2:6" ht="15" customHeight="1">
      <c r="B20" s="129"/>
      <c r="C20" s="132" t="s">
        <v>586</v>
      </c>
      <c r="D20" s="130"/>
    </row>
    <row r="21" spans="2:6" ht="15" customHeight="1">
      <c r="B21" s="133" t="s">
        <v>587</v>
      </c>
      <c r="C21" s="134" t="s">
        <v>588</v>
      </c>
      <c r="D21" s="135">
        <v>4000000</v>
      </c>
      <c r="E21" s="621" t="s">
        <v>615</v>
      </c>
    </row>
    <row r="22" spans="2:6" ht="15" customHeight="1">
      <c r="B22" s="133" t="s">
        <v>589</v>
      </c>
      <c r="C22" s="134" t="s">
        <v>590</v>
      </c>
      <c r="D22" s="135">
        <v>6000000</v>
      </c>
      <c r="E22" s="621"/>
    </row>
    <row r="23" spans="2:6" ht="15" customHeight="1">
      <c r="B23" s="133" t="s">
        <v>591</v>
      </c>
      <c r="C23" s="134" t="s">
        <v>592</v>
      </c>
      <c r="D23" s="135">
        <v>4000000</v>
      </c>
      <c r="E23" s="621"/>
    </row>
    <row r="24" spans="2:6" s="120" customFormat="1" ht="15" customHeight="1">
      <c r="B24" s="133" t="s">
        <v>593</v>
      </c>
      <c r="C24" s="134" t="s">
        <v>594</v>
      </c>
      <c r="D24" s="135">
        <v>2400000</v>
      </c>
      <c r="E24" s="621"/>
    </row>
    <row r="25" spans="2:6" s="120" customFormat="1" ht="15" customHeight="1">
      <c r="B25" s="133" t="s">
        <v>595</v>
      </c>
      <c r="C25" s="134" t="s">
        <v>596</v>
      </c>
      <c r="D25" s="135">
        <v>4000000</v>
      </c>
      <c r="E25" s="621"/>
    </row>
    <row r="26" spans="2:6" s="120" customFormat="1" ht="15" customHeight="1">
      <c r="B26" s="128" t="s">
        <v>597</v>
      </c>
      <c r="C26" s="136" t="s">
        <v>598</v>
      </c>
      <c r="D26" s="137">
        <v>4000000</v>
      </c>
      <c r="E26" s="621"/>
    </row>
    <row r="27" spans="2:6" s="120" customFormat="1" ht="15" customHeight="1">
      <c r="B27" s="128"/>
      <c r="C27" s="138" t="s">
        <v>599</v>
      </c>
      <c r="D27" s="137"/>
    </row>
    <row r="28" spans="2:6" ht="15" customHeight="1">
      <c r="B28" s="129" t="s">
        <v>600</v>
      </c>
      <c r="C28" s="139" t="s">
        <v>601</v>
      </c>
      <c r="D28" s="140">
        <v>72000000</v>
      </c>
    </row>
    <row r="29" spans="2:6" ht="15" customHeight="1">
      <c r="B29" s="129" t="s">
        <v>602</v>
      </c>
      <c r="C29" s="139" t="s">
        <v>603</v>
      </c>
      <c r="D29" s="140">
        <v>360000</v>
      </c>
    </row>
    <row r="30" spans="2:6" ht="15" customHeight="1">
      <c r="B30" s="129" t="s">
        <v>604</v>
      </c>
      <c r="C30" s="139" t="s">
        <v>605</v>
      </c>
      <c r="D30" s="140">
        <v>24000000</v>
      </c>
    </row>
    <row r="31" spans="2:6" ht="15" customHeight="1">
      <c r="B31" s="129" t="s">
        <v>606</v>
      </c>
      <c r="C31" s="139" t="s">
        <v>607</v>
      </c>
      <c r="D31" s="140">
        <v>4200000</v>
      </c>
      <c r="E31" s="124">
        <f>SUM(D28:D35)</f>
        <v>735553646.79999995</v>
      </c>
    </row>
    <row r="32" spans="2:6" ht="15" customHeight="1">
      <c r="B32" s="129" t="s">
        <v>608</v>
      </c>
      <c r="C32" s="139" t="s">
        <v>813</v>
      </c>
      <c r="D32" s="140">
        <f>539488138.8+84736000</f>
        <v>624224138.79999995</v>
      </c>
      <c r="F32" s="125">
        <v>678129449.71000004</v>
      </c>
    </row>
    <row r="33" spans="2:4" ht="15" customHeight="1">
      <c r="B33" s="129" t="s">
        <v>609</v>
      </c>
      <c r="C33" s="139" t="s">
        <v>610</v>
      </c>
      <c r="D33" s="140">
        <v>4973490</v>
      </c>
    </row>
    <row r="34" spans="2:4" ht="15" customHeight="1">
      <c r="B34" s="129" t="s">
        <v>611</v>
      </c>
      <c r="C34" s="139" t="s">
        <v>612</v>
      </c>
      <c r="D34" s="140">
        <v>4980504</v>
      </c>
    </row>
    <row r="35" spans="2:4" ht="15" customHeight="1">
      <c r="B35" s="129" t="s">
        <v>613</v>
      </c>
      <c r="C35" s="139" t="s">
        <v>938</v>
      </c>
      <c r="D35" s="140">
        <v>815514</v>
      </c>
    </row>
    <row r="36" spans="2:4" ht="15" customHeight="1" thickBot="1">
      <c r="D36" s="121">
        <f>SUM(D4:D35)</f>
        <v>1288656953.5999999</v>
      </c>
    </row>
    <row r="37" spans="2:4" ht="14.4" thickTop="1"/>
  </sheetData>
  <mergeCells count="2">
    <mergeCell ref="B1:D1"/>
    <mergeCell ref="E21:E26"/>
  </mergeCells>
  <pageMargins left="0.17" right="0.25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topLeftCell="A25" zoomScale="160" zoomScaleNormal="160" workbookViewId="0">
      <selection activeCell="C15" sqref="C15"/>
    </sheetView>
  </sheetViews>
  <sheetFormatPr baseColWidth="10" defaultColWidth="11.44140625" defaultRowHeight="14.4"/>
  <cols>
    <col min="1" max="1" width="35.6640625" style="7" customWidth="1"/>
    <col min="2" max="2" width="11.44140625" style="7"/>
    <col min="3" max="3" width="16.109375" style="7" customWidth="1"/>
    <col min="4" max="4" width="14.44140625" style="7" customWidth="1"/>
    <col min="5" max="5" width="21.109375" style="7" customWidth="1"/>
    <col min="6" max="256" width="11.44140625" style="7"/>
    <col min="257" max="257" width="16.44140625" style="7" customWidth="1"/>
    <col min="258" max="258" width="11.44140625" style="7"/>
    <col min="259" max="259" width="13.33203125" style="7" customWidth="1"/>
    <col min="260" max="260" width="11.44140625" style="7"/>
    <col min="261" max="261" width="21.109375" style="7" customWidth="1"/>
    <col min="262" max="512" width="11.44140625" style="7"/>
    <col min="513" max="513" width="16.44140625" style="7" customWidth="1"/>
    <col min="514" max="514" width="11.44140625" style="7"/>
    <col min="515" max="515" width="13.33203125" style="7" customWidth="1"/>
    <col min="516" max="516" width="11.44140625" style="7"/>
    <col min="517" max="517" width="21.109375" style="7" customWidth="1"/>
    <col min="518" max="768" width="11.44140625" style="7"/>
    <col min="769" max="769" width="16.44140625" style="7" customWidth="1"/>
    <col min="770" max="770" width="11.44140625" style="7"/>
    <col min="771" max="771" width="13.33203125" style="7" customWidth="1"/>
    <col min="772" max="772" width="11.44140625" style="7"/>
    <col min="773" max="773" width="21.109375" style="7" customWidth="1"/>
    <col min="774" max="1024" width="11.44140625" style="7"/>
    <col min="1025" max="1025" width="16.44140625" style="7" customWidth="1"/>
    <col min="1026" max="1026" width="11.44140625" style="7"/>
    <col min="1027" max="1027" width="13.33203125" style="7" customWidth="1"/>
    <col min="1028" max="1028" width="11.44140625" style="7"/>
    <col min="1029" max="1029" width="21.109375" style="7" customWidth="1"/>
    <col min="1030" max="1280" width="11.44140625" style="7"/>
    <col min="1281" max="1281" width="16.44140625" style="7" customWidth="1"/>
    <col min="1282" max="1282" width="11.44140625" style="7"/>
    <col min="1283" max="1283" width="13.33203125" style="7" customWidth="1"/>
    <col min="1284" max="1284" width="11.44140625" style="7"/>
    <col min="1285" max="1285" width="21.109375" style="7" customWidth="1"/>
    <col min="1286" max="1536" width="11.44140625" style="7"/>
    <col min="1537" max="1537" width="16.44140625" style="7" customWidth="1"/>
    <col min="1538" max="1538" width="11.44140625" style="7"/>
    <col min="1539" max="1539" width="13.33203125" style="7" customWidth="1"/>
    <col min="1540" max="1540" width="11.44140625" style="7"/>
    <col min="1541" max="1541" width="21.109375" style="7" customWidth="1"/>
    <col min="1542" max="1792" width="11.44140625" style="7"/>
    <col min="1793" max="1793" width="16.44140625" style="7" customWidth="1"/>
    <col min="1794" max="1794" width="11.44140625" style="7"/>
    <col min="1795" max="1795" width="13.33203125" style="7" customWidth="1"/>
    <col min="1796" max="1796" width="11.44140625" style="7"/>
    <col min="1797" max="1797" width="21.109375" style="7" customWidth="1"/>
    <col min="1798" max="2048" width="11.44140625" style="7"/>
    <col min="2049" max="2049" width="16.44140625" style="7" customWidth="1"/>
    <col min="2050" max="2050" width="11.44140625" style="7"/>
    <col min="2051" max="2051" width="13.33203125" style="7" customWidth="1"/>
    <col min="2052" max="2052" width="11.44140625" style="7"/>
    <col min="2053" max="2053" width="21.109375" style="7" customWidth="1"/>
    <col min="2054" max="2304" width="11.44140625" style="7"/>
    <col min="2305" max="2305" width="16.44140625" style="7" customWidth="1"/>
    <col min="2306" max="2306" width="11.44140625" style="7"/>
    <col min="2307" max="2307" width="13.33203125" style="7" customWidth="1"/>
    <col min="2308" max="2308" width="11.44140625" style="7"/>
    <col min="2309" max="2309" width="21.109375" style="7" customWidth="1"/>
    <col min="2310" max="2560" width="11.44140625" style="7"/>
    <col min="2561" max="2561" width="16.44140625" style="7" customWidth="1"/>
    <col min="2562" max="2562" width="11.44140625" style="7"/>
    <col min="2563" max="2563" width="13.33203125" style="7" customWidth="1"/>
    <col min="2564" max="2564" width="11.44140625" style="7"/>
    <col min="2565" max="2565" width="21.109375" style="7" customWidth="1"/>
    <col min="2566" max="2816" width="11.44140625" style="7"/>
    <col min="2817" max="2817" width="16.44140625" style="7" customWidth="1"/>
    <col min="2818" max="2818" width="11.44140625" style="7"/>
    <col min="2819" max="2819" width="13.33203125" style="7" customWidth="1"/>
    <col min="2820" max="2820" width="11.44140625" style="7"/>
    <col min="2821" max="2821" width="21.109375" style="7" customWidth="1"/>
    <col min="2822" max="3072" width="11.44140625" style="7"/>
    <col min="3073" max="3073" width="16.44140625" style="7" customWidth="1"/>
    <col min="3074" max="3074" width="11.44140625" style="7"/>
    <col min="3075" max="3075" width="13.33203125" style="7" customWidth="1"/>
    <col min="3076" max="3076" width="11.44140625" style="7"/>
    <col min="3077" max="3077" width="21.109375" style="7" customWidth="1"/>
    <col min="3078" max="3328" width="11.44140625" style="7"/>
    <col min="3329" max="3329" width="16.44140625" style="7" customWidth="1"/>
    <col min="3330" max="3330" width="11.44140625" style="7"/>
    <col min="3331" max="3331" width="13.33203125" style="7" customWidth="1"/>
    <col min="3332" max="3332" width="11.44140625" style="7"/>
    <col min="3333" max="3333" width="21.109375" style="7" customWidth="1"/>
    <col min="3334" max="3584" width="11.44140625" style="7"/>
    <col min="3585" max="3585" width="16.44140625" style="7" customWidth="1"/>
    <col min="3586" max="3586" width="11.44140625" style="7"/>
    <col min="3587" max="3587" width="13.33203125" style="7" customWidth="1"/>
    <col min="3588" max="3588" width="11.44140625" style="7"/>
    <col min="3589" max="3589" width="21.109375" style="7" customWidth="1"/>
    <col min="3590" max="3840" width="11.44140625" style="7"/>
    <col min="3841" max="3841" width="16.44140625" style="7" customWidth="1"/>
    <col min="3842" max="3842" width="11.44140625" style="7"/>
    <col min="3843" max="3843" width="13.33203125" style="7" customWidth="1"/>
    <col min="3844" max="3844" width="11.44140625" style="7"/>
    <col min="3845" max="3845" width="21.109375" style="7" customWidth="1"/>
    <col min="3846" max="4096" width="11.44140625" style="7"/>
    <col min="4097" max="4097" width="16.44140625" style="7" customWidth="1"/>
    <col min="4098" max="4098" width="11.44140625" style="7"/>
    <col min="4099" max="4099" width="13.33203125" style="7" customWidth="1"/>
    <col min="4100" max="4100" width="11.44140625" style="7"/>
    <col min="4101" max="4101" width="21.109375" style="7" customWidth="1"/>
    <col min="4102" max="4352" width="11.44140625" style="7"/>
    <col min="4353" max="4353" width="16.44140625" style="7" customWidth="1"/>
    <col min="4354" max="4354" width="11.44140625" style="7"/>
    <col min="4355" max="4355" width="13.33203125" style="7" customWidth="1"/>
    <col min="4356" max="4356" width="11.44140625" style="7"/>
    <col min="4357" max="4357" width="21.109375" style="7" customWidth="1"/>
    <col min="4358" max="4608" width="11.44140625" style="7"/>
    <col min="4609" max="4609" width="16.44140625" style="7" customWidth="1"/>
    <col min="4610" max="4610" width="11.44140625" style="7"/>
    <col min="4611" max="4611" width="13.33203125" style="7" customWidth="1"/>
    <col min="4612" max="4612" width="11.44140625" style="7"/>
    <col min="4613" max="4613" width="21.109375" style="7" customWidth="1"/>
    <col min="4614" max="4864" width="11.44140625" style="7"/>
    <col min="4865" max="4865" width="16.44140625" style="7" customWidth="1"/>
    <col min="4866" max="4866" width="11.44140625" style="7"/>
    <col min="4867" max="4867" width="13.33203125" style="7" customWidth="1"/>
    <col min="4868" max="4868" width="11.44140625" style="7"/>
    <col min="4869" max="4869" width="21.109375" style="7" customWidth="1"/>
    <col min="4870" max="5120" width="11.44140625" style="7"/>
    <col min="5121" max="5121" width="16.44140625" style="7" customWidth="1"/>
    <col min="5122" max="5122" width="11.44140625" style="7"/>
    <col min="5123" max="5123" width="13.33203125" style="7" customWidth="1"/>
    <col min="5124" max="5124" width="11.44140625" style="7"/>
    <col min="5125" max="5125" width="21.109375" style="7" customWidth="1"/>
    <col min="5126" max="5376" width="11.44140625" style="7"/>
    <col min="5377" max="5377" width="16.44140625" style="7" customWidth="1"/>
    <col min="5378" max="5378" width="11.44140625" style="7"/>
    <col min="5379" max="5379" width="13.33203125" style="7" customWidth="1"/>
    <col min="5380" max="5380" width="11.44140625" style="7"/>
    <col min="5381" max="5381" width="21.109375" style="7" customWidth="1"/>
    <col min="5382" max="5632" width="11.44140625" style="7"/>
    <col min="5633" max="5633" width="16.44140625" style="7" customWidth="1"/>
    <col min="5634" max="5634" width="11.44140625" style="7"/>
    <col min="5635" max="5635" width="13.33203125" style="7" customWidth="1"/>
    <col min="5636" max="5636" width="11.44140625" style="7"/>
    <col min="5637" max="5637" width="21.109375" style="7" customWidth="1"/>
    <col min="5638" max="5888" width="11.44140625" style="7"/>
    <col min="5889" max="5889" width="16.44140625" style="7" customWidth="1"/>
    <col min="5890" max="5890" width="11.44140625" style="7"/>
    <col min="5891" max="5891" width="13.33203125" style="7" customWidth="1"/>
    <col min="5892" max="5892" width="11.44140625" style="7"/>
    <col min="5893" max="5893" width="21.109375" style="7" customWidth="1"/>
    <col min="5894" max="6144" width="11.44140625" style="7"/>
    <col min="6145" max="6145" width="16.44140625" style="7" customWidth="1"/>
    <col min="6146" max="6146" width="11.44140625" style="7"/>
    <col min="6147" max="6147" width="13.33203125" style="7" customWidth="1"/>
    <col min="6148" max="6148" width="11.44140625" style="7"/>
    <col min="6149" max="6149" width="21.109375" style="7" customWidth="1"/>
    <col min="6150" max="6400" width="11.44140625" style="7"/>
    <col min="6401" max="6401" width="16.44140625" style="7" customWidth="1"/>
    <col min="6402" max="6402" width="11.44140625" style="7"/>
    <col min="6403" max="6403" width="13.33203125" style="7" customWidth="1"/>
    <col min="6404" max="6404" width="11.44140625" style="7"/>
    <col min="6405" max="6405" width="21.109375" style="7" customWidth="1"/>
    <col min="6406" max="6656" width="11.44140625" style="7"/>
    <col min="6657" max="6657" width="16.44140625" style="7" customWidth="1"/>
    <col min="6658" max="6658" width="11.44140625" style="7"/>
    <col min="6659" max="6659" width="13.33203125" style="7" customWidth="1"/>
    <col min="6660" max="6660" width="11.44140625" style="7"/>
    <col min="6661" max="6661" width="21.109375" style="7" customWidth="1"/>
    <col min="6662" max="6912" width="11.44140625" style="7"/>
    <col min="6913" max="6913" width="16.44140625" style="7" customWidth="1"/>
    <col min="6914" max="6914" width="11.44140625" style="7"/>
    <col min="6915" max="6915" width="13.33203125" style="7" customWidth="1"/>
    <col min="6916" max="6916" width="11.44140625" style="7"/>
    <col min="6917" max="6917" width="21.109375" style="7" customWidth="1"/>
    <col min="6918" max="7168" width="11.44140625" style="7"/>
    <col min="7169" max="7169" width="16.44140625" style="7" customWidth="1"/>
    <col min="7170" max="7170" width="11.44140625" style="7"/>
    <col min="7171" max="7171" width="13.33203125" style="7" customWidth="1"/>
    <col min="7172" max="7172" width="11.44140625" style="7"/>
    <col min="7173" max="7173" width="21.109375" style="7" customWidth="1"/>
    <col min="7174" max="7424" width="11.44140625" style="7"/>
    <col min="7425" max="7425" width="16.44140625" style="7" customWidth="1"/>
    <col min="7426" max="7426" width="11.44140625" style="7"/>
    <col min="7427" max="7427" width="13.33203125" style="7" customWidth="1"/>
    <col min="7428" max="7428" width="11.44140625" style="7"/>
    <col min="7429" max="7429" width="21.109375" style="7" customWidth="1"/>
    <col min="7430" max="7680" width="11.44140625" style="7"/>
    <col min="7681" max="7681" width="16.44140625" style="7" customWidth="1"/>
    <col min="7682" max="7682" width="11.44140625" style="7"/>
    <col min="7683" max="7683" width="13.33203125" style="7" customWidth="1"/>
    <col min="7684" max="7684" width="11.44140625" style="7"/>
    <col min="7685" max="7685" width="21.109375" style="7" customWidth="1"/>
    <col min="7686" max="7936" width="11.44140625" style="7"/>
    <col min="7937" max="7937" width="16.44140625" style="7" customWidth="1"/>
    <col min="7938" max="7938" width="11.44140625" style="7"/>
    <col min="7939" max="7939" width="13.33203125" style="7" customWidth="1"/>
    <col min="7940" max="7940" width="11.44140625" style="7"/>
    <col min="7941" max="7941" width="21.109375" style="7" customWidth="1"/>
    <col min="7942" max="8192" width="11.44140625" style="7"/>
    <col min="8193" max="8193" width="16.44140625" style="7" customWidth="1"/>
    <col min="8194" max="8194" width="11.44140625" style="7"/>
    <col min="8195" max="8195" width="13.33203125" style="7" customWidth="1"/>
    <col min="8196" max="8196" width="11.44140625" style="7"/>
    <col min="8197" max="8197" width="21.109375" style="7" customWidth="1"/>
    <col min="8198" max="8448" width="11.44140625" style="7"/>
    <col min="8449" max="8449" width="16.44140625" style="7" customWidth="1"/>
    <col min="8450" max="8450" width="11.44140625" style="7"/>
    <col min="8451" max="8451" width="13.33203125" style="7" customWidth="1"/>
    <col min="8452" max="8452" width="11.44140625" style="7"/>
    <col min="8453" max="8453" width="21.109375" style="7" customWidth="1"/>
    <col min="8454" max="8704" width="11.44140625" style="7"/>
    <col min="8705" max="8705" width="16.44140625" style="7" customWidth="1"/>
    <col min="8706" max="8706" width="11.44140625" style="7"/>
    <col min="8707" max="8707" width="13.33203125" style="7" customWidth="1"/>
    <col min="8708" max="8708" width="11.44140625" style="7"/>
    <col min="8709" max="8709" width="21.109375" style="7" customWidth="1"/>
    <col min="8710" max="8960" width="11.44140625" style="7"/>
    <col min="8961" max="8961" width="16.44140625" style="7" customWidth="1"/>
    <col min="8962" max="8962" width="11.44140625" style="7"/>
    <col min="8963" max="8963" width="13.33203125" style="7" customWidth="1"/>
    <col min="8964" max="8964" width="11.44140625" style="7"/>
    <col min="8965" max="8965" width="21.109375" style="7" customWidth="1"/>
    <col min="8966" max="9216" width="11.44140625" style="7"/>
    <col min="9217" max="9217" width="16.44140625" style="7" customWidth="1"/>
    <col min="9218" max="9218" width="11.44140625" style="7"/>
    <col min="9219" max="9219" width="13.33203125" style="7" customWidth="1"/>
    <col min="9220" max="9220" width="11.44140625" style="7"/>
    <col min="9221" max="9221" width="21.109375" style="7" customWidth="1"/>
    <col min="9222" max="9472" width="11.44140625" style="7"/>
    <col min="9473" max="9473" width="16.44140625" style="7" customWidth="1"/>
    <col min="9474" max="9474" width="11.44140625" style="7"/>
    <col min="9475" max="9475" width="13.33203125" style="7" customWidth="1"/>
    <col min="9476" max="9476" width="11.44140625" style="7"/>
    <col min="9477" max="9477" width="21.109375" style="7" customWidth="1"/>
    <col min="9478" max="9728" width="11.44140625" style="7"/>
    <col min="9729" max="9729" width="16.44140625" style="7" customWidth="1"/>
    <col min="9730" max="9730" width="11.44140625" style="7"/>
    <col min="9731" max="9731" width="13.33203125" style="7" customWidth="1"/>
    <col min="9732" max="9732" width="11.44140625" style="7"/>
    <col min="9733" max="9733" width="21.109375" style="7" customWidth="1"/>
    <col min="9734" max="9984" width="11.44140625" style="7"/>
    <col min="9985" max="9985" width="16.44140625" style="7" customWidth="1"/>
    <col min="9986" max="9986" width="11.44140625" style="7"/>
    <col min="9987" max="9987" width="13.33203125" style="7" customWidth="1"/>
    <col min="9988" max="9988" width="11.44140625" style="7"/>
    <col min="9989" max="9989" width="21.109375" style="7" customWidth="1"/>
    <col min="9990" max="10240" width="11.44140625" style="7"/>
    <col min="10241" max="10241" width="16.44140625" style="7" customWidth="1"/>
    <col min="10242" max="10242" width="11.44140625" style="7"/>
    <col min="10243" max="10243" width="13.33203125" style="7" customWidth="1"/>
    <col min="10244" max="10244" width="11.44140625" style="7"/>
    <col min="10245" max="10245" width="21.109375" style="7" customWidth="1"/>
    <col min="10246" max="10496" width="11.44140625" style="7"/>
    <col min="10497" max="10497" width="16.44140625" style="7" customWidth="1"/>
    <col min="10498" max="10498" width="11.44140625" style="7"/>
    <col min="10499" max="10499" width="13.33203125" style="7" customWidth="1"/>
    <col min="10500" max="10500" width="11.44140625" style="7"/>
    <col min="10501" max="10501" width="21.109375" style="7" customWidth="1"/>
    <col min="10502" max="10752" width="11.44140625" style="7"/>
    <col min="10753" max="10753" width="16.44140625" style="7" customWidth="1"/>
    <col min="10754" max="10754" width="11.44140625" style="7"/>
    <col min="10755" max="10755" width="13.33203125" style="7" customWidth="1"/>
    <col min="10756" max="10756" width="11.44140625" style="7"/>
    <col min="10757" max="10757" width="21.109375" style="7" customWidth="1"/>
    <col min="10758" max="11008" width="11.44140625" style="7"/>
    <col min="11009" max="11009" width="16.44140625" style="7" customWidth="1"/>
    <col min="11010" max="11010" width="11.44140625" style="7"/>
    <col min="11011" max="11011" width="13.33203125" style="7" customWidth="1"/>
    <col min="11012" max="11012" width="11.44140625" style="7"/>
    <col min="11013" max="11013" width="21.109375" style="7" customWidth="1"/>
    <col min="11014" max="11264" width="11.44140625" style="7"/>
    <col min="11265" max="11265" width="16.44140625" style="7" customWidth="1"/>
    <col min="11266" max="11266" width="11.44140625" style="7"/>
    <col min="11267" max="11267" width="13.33203125" style="7" customWidth="1"/>
    <col min="11268" max="11268" width="11.44140625" style="7"/>
    <col min="11269" max="11269" width="21.109375" style="7" customWidth="1"/>
    <col min="11270" max="11520" width="11.44140625" style="7"/>
    <col min="11521" max="11521" width="16.44140625" style="7" customWidth="1"/>
    <col min="11522" max="11522" width="11.44140625" style="7"/>
    <col min="11523" max="11523" width="13.33203125" style="7" customWidth="1"/>
    <col min="11524" max="11524" width="11.44140625" style="7"/>
    <col min="11525" max="11525" width="21.109375" style="7" customWidth="1"/>
    <col min="11526" max="11776" width="11.44140625" style="7"/>
    <col min="11777" max="11777" width="16.44140625" style="7" customWidth="1"/>
    <col min="11778" max="11778" width="11.44140625" style="7"/>
    <col min="11779" max="11779" width="13.33203125" style="7" customWidth="1"/>
    <col min="11780" max="11780" width="11.44140625" style="7"/>
    <col min="11781" max="11781" width="21.109375" style="7" customWidth="1"/>
    <col min="11782" max="12032" width="11.44140625" style="7"/>
    <col min="12033" max="12033" width="16.44140625" style="7" customWidth="1"/>
    <col min="12034" max="12034" width="11.44140625" style="7"/>
    <col min="12035" max="12035" width="13.33203125" style="7" customWidth="1"/>
    <col min="12036" max="12036" width="11.44140625" style="7"/>
    <col min="12037" max="12037" width="21.109375" style="7" customWidth="1"/>
    <col min="12038" max="12288" width="11.44140625" style="7"/>
    <col min="12289" max="12289" width="16.44140625" style="7" customWidth="1"/>
    <col min="12290" max="12290" width="11.44140625" style="7"/>
    <col min="12291" max="12291" width="13.33203125" style="7" customWidth="1"/>
    <col min="12292" max="12292" width="11.44140625" style="7"/>
    <col min="12293" max="12293" width="21.109375" style="7" customWidth="1"/>
    <col min="12294" max="12544" width="11.44140625" style="7"/>
    <col min="12545" max="12545" width="16.44140625" style="7" customWidth="1"/>
    <col min="12546" max="12546" width="11.44140625" style="7"/>
    <col min="12547" max="12547" width="13.33203125" style="7" customWidth="1"/>
    <col min="12548" max="12548" width="11.44140625" style="7"/>
    <col min="12549" max="12549" width="21.109375" style="7" customWidth="1"/>
    <col min="12550" max="12800" width="11.44140625" style="7"/>
    <col min="12801" max="12801" width="16.44140625" style="7" customWidth="1"/>
    <col min="12802" max="12802" width="11.44140625" style="7"/>
    <col min="12803" max="12803" width="13.33203125" style="7" customWidth="1"/>
    <col min="12804" max="12804" width="11.44140625" style="7"/>
    <col min="12805" max="12805" width="21.109375" style="7" customWidth="1"/>
    <col min="12806" max="13056" width="11.44140625" style="7"/>
    <col min="13057" max="13057" width="16.44140625" style="7" customWidth="1"/>
    <col min="13058" max="13058" width="11.44140625" style="7"/>
    <col min="13059" max="13059" width="13.33203125" style="7" customWidth="1"/>
    <col min="13060" max="13060" width="11.44140625" style="7"/>
    <col min="13061" max="13061" width="21.109375" style="7" customWidth="1"/>
    <col min="13062" max="13312" width="11.44140625" style="7"/>
    <col min="13313" max="13313" width="16.44140625" style="7" customWidth="1"/>
    <col min="13314" max="13314" width="11.44140625" style="7"/>
    <col min="13315" max="13315" width="13.33203125" style="7" customWidth="1"/>
    <col min="13316" max="13316" width="11.44140625" style="7"/>
    <col min="13317" max="13317" width="21.109375" style="7" customWidth="1"/>
    <col min="13318" max="13568" width="11.44140625" style="7"/>
    <col min="13569" max="13569" width="16.44140625" style="7" customWidth="1"/>
    <col min="13570" max="13570" width="11.44140625" style="7"/>
    <col min="13571" max="13571" width="13.33203125" style="7" customWidth="1"/>
    <col min="13572" max="13572" width="11.44140625" style="7"/>
    <col min="13573" max="13573" width="21.109375" style="7" customWidth="1"/>
    <col min="13574" max="13824" width="11.44140625" style="7"/>
    <col min="13825" max="13825" width="16.44140625" style="7" customWidth="1"/>
    <col min="13826" max="13826" width="11.44140625" style="7"/>
    <col min="13827" max="13827" width="13.33203125" style="7" customWidth="1"/>
    <col min="13828" max="13828" width="11.44140625" style="7"/>
    <col min="13829" max="13829" width="21.109375" style="7" customWidth="1"/>
    <col min="13830" max="14080" width="11.44140625" style="7"/>
    <col min="14081" max="14081" width="16.44140625" style="7" customWidth="1"/>
    <col min="14082" max="14082" width="11.44140625" style="7"/>
    <col min="14083" max="14083" width="13.33203125" style="7" customWidth="1"/>
    <col min="14084" max="14084" width="11.44140625" style="7"/>
    <col min="14085" max="14085" width="21.109375" style="7" customWidth="1"/>
    <col min="14086" max="14336" width="11.44140625" style="7"/>
    <col min="14337" max="14337" width="16.44140625" style="7" customWidth="1"/>
    <col min="14338" max="14338" width="11.44140625" style="7"/>
    <col min="14339" max="14339" width="13.33203125" style="7" customWidth="1"/>
    <col min="14340" max="14340" width="11.44140625" style="7"/>
    <col min="14341" max="14341" width="21.109375" style="7" customWidth="1"/>
    <col min="14342" max="14592" width="11.44140625" style="7"/>
    <col min="14593" max="14593" width="16.44140625" style="7" customWidth="1"/>
    <col min="14594" max="14594" width="11.44140625" style="7"/>
    <col min="14595" max="14595" width="13.33203125" style="7" customWidth="1"/>
    <col min="14596" max="14596" width="11.44140625" style="7"/>
    <col min="14597" max="14597" width="21.109375" style="7" customWidth="1"/>
    <col min="14598" max="14848" width="11.44140625" style="7"/>
    <col min="14849" max="14849" width="16.44140625" style="7" customWidth="1"/>
    <col min="14850" max="14850" width="11.44140625" style="7"/>
    <col min="14851" max="14851" width="13.33203125" style="7" customWidth="1"/>
    <col min="14852" max="14852" width="11.44140625" style="7"/>
    <col min="14853" max="14853" width="21.109375" style="7" customWidth="1"/>
    <col min="14854" max="15104" width="11.44140625" style="7"/>
    <col min="15105" max="15105" width="16.44140625" style="7" customWidth="1"/>
    <col min="15106" max="15106" width="11.44140625" style="7"/>
    <col min="15107" max="15107" width="13.33203125" style="7" customWidth="1"/>
    <col min="15108" max="15108" width="11.44140625" style="7"/>
    <col min="15109" max="15109" width="21.109375" style="7" customWidth="1"/>
    <col min="15110" max="15360" width="11.44140625" style="7"/>
    <col min="15361" max="15361" width="16.44140625" style="7" customWidth="1"/>
    <col min="15362" max="15362" width="11.44140625" style="7"/>
    <col min="15363" max="15363" width="13.33203125" style="7" customWidth="1"/>
    <col min="15364" max="15364" width="11.44140625" style="7"/>
    <col min="15365" max="15365" width="21.109375" style="7" customWidth="1"/>
    <col min="15366" max="15616" width="11.44140625" style="7"/>
    <col min="15617" max="15617" width="16.44140625" style="7" customWidth="1"/>
    <col min="15618" max="15618" width="11.44140625" style="7"/>
    <col min="15619" max="15619" width="13.33203125" style="7" customWidth="1"/>
    <col min="15620" max="15620" width="11.44140625" style="7"/>
    <col min="15621" max="15621" width="21.109375" style="7" customWidth="1"/>
    <col min="15622" max="15872" width="11.44140625" style="7"/>
    <col min="15873" max="15873" width="16.44140625" style="7" customWidth="1"/>
    <col min="15874" max="15874" width="11.44140625" style="7"/>
    <col min="15875" max="15875" width="13.33203125" style="7" customWidth="1"/>
    <col min="15876" max="15876" width="11.44140625" style="7"/>
    <col min="15877" max="15877" width="21.109375" style="7" customWidth="1"/>
    <col min="15878" max="16128" width="11.44140625" style="7"/>
    <col min="16129" max="16129" width="16.44140625" style="7" customWidth="1"/>
    <col min="16130" max="16130" width="11.44140625" style="7"/>
    <col min="16131" max="16131" width="13.33203125" style="7" customWidth="1"/>
    <col min="16132" max="16132" width="11.44140625" style="7"/>
    <col min="16133" max="16133" width="21.109375" style="7" customWidth="1"/>
    <col min="16134" max="16384" width="11.44140625" style="7"/>
  </cols>
  <sheetData>
    <row r="2" spans="1:6" ht="18">
      <c r="A2" s="623" t="s">
        <v>129</v>
      </c>
      <c r="B2" s="624"/>
      <c r="C2" s="624"/>
      <c r="D2" s="624"/>
      <c r="E2" s="624"/>
      <c r="F2" s="6"/>
    </row>
    <row r="3" spans="1:6" ht="18">
      <c r="A3" s="8"/>
      <c r="B3" s="9"/>
      <c r="C3" s="9"/>
      <c r="D3" s="9"/>
      <c r="E3" s="9"/>
      <c r="F3" s="6"/>
    </row>
    <row r="4" spans="1:6">
      <c r="A4" s="10"/>
      <c r="B4" s="11"/>
      <c r="F4" s="6"/>
    </row>
    <row r="5" spans="1:6">
      <c r="A5" s="625" t="s">
        <v>130</v>
      </c>
      <c r="B5" s="626"/>
      <c r="C5" s="626"/>
      <c r="D5" s="626"/>
      <c r="E5" s="626"/>
      <c r="F5" s="6"/>
    </row>
    <row r="6" spans="1:6">
      <c r="A6" s="10"/>
      <c r="B6" s="11"/>
      <c r="F6" s="6"/>
    </row>
    <row r="7" spans="1:6">
      <c r="A7" s="10"/>
      <c r="B7" s="11"/>
      <c r="D7" s="7">
        <v>135</v>
      </c>
      <c r="F7" s="6"/>
    </row>
    <row r="8" spans="1:6">
      <c r="A8" s="10" t="s">
        <v>815</v>
      </c>
      <c r="B8" s="255">
        <v>3309</v>
      </c>
      <c r="D8" s="7">
        <v>125</v>
      </c>
      <c r="F8" s="6"/>
    </row>
    <row r="9" spans="1:6">
      <c r="A9" s="10" t="s">
        <v>816</v>
      </c>
      <c r="B9" s="12">
        <v>1655</v>
      </c>
      <c r="D9" s="7">
        <v>90</v>
      </c>
      <c r="F9" s="6"/>
    </row>
    <row r="10" spans="1:6">
      <c r="A10" s="10"/>
      <c r="B10" s="11"/>
      <c r="D10" s="7">
        <v>70</v>
      </c>
      <c r="E10" s="7">
        <f>AVERAGE(D7:D10)</f>
        <v>105</v>
      </c>
      <c r="F10" s="6"/>
    </row>
    <row r="11" spans="1:6">
      <c r="A11" s="10"/>
      <c r="B11" s="11"/>
      <c r="F11" s="6"/>
    </row>
    <row r="12" spans="1:6">
      <c r="A12" s="627" t="s">
        <v>818</v>
      </c>
      <c r="B12" s="627"/>
      <c r="C12" s="627"/>
      <c r="D12" s="627"/>
      <c r="E12" s="627"/>
      <c r="F12" s="6"/>
    </row>
    <row r="13" spans="1:6">
      <c r="A13" s="10"/>
      <c r="B13" s="11"/>
      <c r="F13" s="6"/>
    </row>
    <row r="14" spans="1:6">
      <c r="A14" s="10" t="s">
        <v>131</v>
      </c>
      <c r="B14" s="13">
        <v>105000</v>
      </c>
      <c r="F14" s="6"/>
    </row>
    <row r="15" spans="1:6">
      <c r="A15" s="10" t="s">
        <v>132</v>
      </c>
      <c r="B15" s="13">
        <v>50000</v>
      </c>
      <c r="E15" s="14"/>
      <c r="F15" s="6"/>
    </row>
    <row r="16" spans="1:6">
      <c r="A16" s="10" t="s">
        <v>133</v>
      </c>
      <c r="B16" s="13">
        <v>11000</v>
      </c>
      <c r="F16" s="6"/>
    </row>
    <row r="17" spans="1:7">
      <c r="A17" s="15"/>
      <c r="B17" s="11"/>
      <c r="F17" s="6"/>
    </row>
    <row r="18" spans="1:7">
      <c r="A18" s="10"/>
      <c r="B18" s="16"/>
      <c r="F18" s="6"/>
    </row>
    <row r="19" spans="1:7">
      <c r="A19" s="622" t="s">
        <v>134</v>
      </c>
      <c r="B19" s="622"/>
      <c r="C19" s="622"/>
      <c r="D19" s="622"/>
      <c r="E19" s="17">
        <f>+(B14+B15+B16)/3</f>
        <v>55333.333333333336</v>
      </c>
      <c r="F19" s="6"/>
    </row>
    <row r="20" spans="1:7">
      <c r="A20" s="18"/>
      <c r="B20" s="19"/>
      <c r="F20" s="6"/>
    </row>
    <row r="21" spans="1:7">
      <c r="A21" s="622" t="s">
        <v>135</v>
      </c>
      <c r="B21" s="622"/>
      <c r="C21" s="622"/>
      <c r="D21" s="622"/>
      <c r="E21" s="17">
        <f>+E19</f>
        <v>55333.333333333336</v>
      </c>
      <c r="F21" s="20"/>
      <c r="G21" s="11"/>
    </row>
    <row r="22" spans="1:7">
      <c r="A22" s="622" t="s">
        <v>814</v>
      </c>
      <c r="B22" s="622"/>
      <c r="C22" s="622"/>
      <c r="D22" s="622"/>
      <c r="E22" s="255">
        <f>+B9</f>
        <v>1655</v>
      </c>
      <c r="F22" s="6"/>
    </row>
    <row r="23" spans="1:7" ht="15" thickBot="1">
      <c r="A23" s="10"/>
      <c r="B23" s="19"/>
      <c r="F23" s="6"/>
    </row>
    <row r="24" spans="1:7" ht="15" thickBot="1">
      <c r="A24" s="622" t="s">
        <v>817</v>
      </c>
      <c r="B24" s="622"/>
      <c r="C24" s="622"/>
      <c r="D24" s="622"/>
      <c r="E24" s="21">
        <f>+E21*E22</f>
        <v>91576666.666666672</v>
      </c>
      <c r="F24" s="6"/>
    </row>
    <row r="25" spans="1:7">
      <c r="A25" s="10"/>
      <c r="B25" s="11"/>
      <c r="F25" s="6"/>
    </row>
    <row r="26" spans="1:7">
      <c r="A26" s="10"/>
      <c r="B26" s="11"/>
      <c r="F26" s="6"/>
    </row>
    <row r="27" spans="1:7">
      <c r="A27" s="629" t="s">
        <v>136</v>
      </c>
      <c r="B27" s="630"/>
      <c r="C27" s="630"/>
      <c r="D27" s="630"/>
      <c r="E27" s="630"/>
      <c r="F27" s="6"/>
    </row>
    <row r="28" spans="1:7">
      <c r="A28" s="10"/>
      <c r="B28" s="11"/>
      <c r="F28" s="6"/>
    </row>
    <row r="29" spans="1:7">
      <c r="A29" s="10"/>
      <c r="B29" s="11"/>
      <c r="F29" s="6"/>
    </row>
    <row r="30" spans="1:7">
      <c r="A30" s="628" t="s">
        <v>137</v>
      </c>
      <c r="B30" s="628"/>
      <c r="C30" s="628"/>
      <c r="D30" s="628"/>
      <c r="E30" s="12">
        <v>38</v>
      </c>
      <c r="F30" s="6"/>
    </row>
    <row r="31" spans="1:7">
      <c r="A31" s="628" t="s">
        <v>138</v>
      </c>
      <c r="B31" s="628"/>
      <c r="C31" s="628"/>
      <c r="D31" s="628"/>
      <c r="E31" s="12">
        <v>2</v>
      </c>
      <c r="F31" s="6"/>
    </row>
    <row r="32" spans="1:7">
      <c r="A32" s="628" t="s">
        <v>139</v>
      </c>
      <c r="B32" s="628"/>
      <c r="C32" s="628"/>
      <c r="D32" s="628"/>
      <c r="E32" s="22">
        <f>+E30*E31</f>
        <v>76</v>
      </c>
      <c r="F32" s="6"/>
    </row>
    <row r="33" spans="1:6">
      <c r="A33" s="10"/>
      <c r="E33" s="14"/>
      <c r="F33" s="6"/>
    </row>
    <row r="34" spans="1:6">
      <c r="A34" s="10"/>
      <c r="B34" s="11"/>
      <c r="F34" s="6"/>
    </row>
    <row r="35" spans="1:6">
      <c r="A35" s="628" t="s">
        <v>140</v>
      </c>
      <c r="B35" s="628"/>
      <c r="C35" s="628"/>
      <c r="D35" s="628"/>
      <c r="E35" s="628"/>
      <c r="F35" s="6"/>
    </row>
    <row r="36" spans="1:6">
      <c r="A36" s="10"/>
      <c r="B36" s="11"/>
      <c r="F36" s="6"/>
    </row>
    <row r="37" spans="1:6">
      <c r="A37" s="628" t="s">
        <v>141</v>
      </c>
      <c r="B37" s="628"/>
      <c r="C37" s="13">
        <v>15000</v>
      </c>
      <c r="F37" s="6"/>
    </row>
    <row r="38" spans="1:6">
      <c r="A38" s="628" t="s">
        <v>142</v>
      </c>
      <c r="B38" s="628"/>
      <c r="C38" s="12">
        <v>76</v>
      </c>
      <c r="F38" s="6"/>
    </row>
    <row r="39" spans="1:6">
      <c r="A39" s="18"/>
      <c r="B39" s="11" t="s">
        <v>0</v>
      </c>
      <c r="C39" s="13">
        <f>+C37*C38</f>
        <v>1140000</v>
      </c>
      <c r="F39" s="6"/>
    </row>
    <row r="40" spans="1:6">
      <c r="A40" s="10"/>
      <c r="B40" s="11"/>
      <c r="F40" s="6"/>
    </row>
    <row r="41" spans="1:6">
      <c r="A41" s="10"/>
      <c r="B41" s="11"/>
      <c r="F41" s="6"/>
    </row>
    <row r="42" spans="1:6" ht="15" thickBot="1">
      <c r="A42" s="628" t="s">
        <v>143</v>
      </c>
      <c r="B42" s="628"/>
      <c r="C42" s="628"/>
      <c r="D42" s="628"/>
      <c r="E42" s="23">
        <f>+C39*12</f>
        <v>13680000</v>
      </c>
      <c r="F42" s="6"/>
    </row>
    <row r="43" spans="1:6" ht="15" thickBot="1">
      <c r="D43" s="24" t="s">
        <v>0</v>
      </c>
      <c r="E43" s="21">
        <f>SUM(E42)</f>
        <v>13680000</v>
      </c>
      <c r="F43" s="6"/>
    </row>
  </sheetData>
  <mergeCells count="15">
    <mergeCell ref="A37:B37"/>
    <mergeCell ref="A38:B38"/>
    <mergeCell ref="A42:D42"/>
    <mergeCell ref="A24:D24"/>
    <mergeCell ref="A27:E27"/>
    <mergeCell ref="A30:D30"/>
    <mergeCell ref="A31:D31"/>
    <mergeCell ref="A32:D32"/>
    <mergeCell ref="A35:E35"/>
    <mergeCell ref="A22:D22"/>
    <mergeCell ref="A2:E2"/>
    <mergeCell ref="A5:E5"/>
    <mergeCell ref="A12:E12"/>
    <mergeCell ref="A19:D19"/>
    <mergeCell ref="A21:D21"/>
  </mergeCells>
  <pageMargins left="0.21" right="0.13" top="0.24" bottom="0.75" header="0.16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view="pageBreakPreview" topLeftCell="A13" zoomScale="130" zoomScaleSheetLayoutView="130" workbookViewId="0">
      <selection activeCell="C34" sqref="C34"/>
    </sheetView>
  </sheetViews>
  <sheetFormatPr baseColWidth="10" defaultColWidth="11.44140625" defaultRowHeight="14.4"/>
  <cols>
    <col min="1" max="1" width="50.109375" customWidth="1"/>
    <col min="3" max="4" width="23.33203125" customWidth="1"/>
    <col min="5" max="5" width="14.44140625" bestFit="1" customWidth="1"/>
    <col min="257" max="257" width="50.109375" customWidth="1"/>
    <col min="259" max="260" width="23.33203125" customWidth="1"/>
    <col min="261" max="261" width="14.44140625" bestFit="1" customWidth="1"/>
    <col min="513" max="513" width="50.109375" customWidth="1"/>
    <col min="515" max="516" width="23.33203125" customWidth="1"/>
    <col min="517" max="517" width="14.44140625" bestFit="1" customWidth="1"/>
    <col min="769" max="769" width="50.109375" customWidth="1"/>
    <col min="771" max="772" width="23.33203125" customWidth="1"/>
    <col min="773" max="773" width="14.44140625" bestFit="1" customWidth="1"/>
    <col min="1025" max="1025" width="50.109375" customWidth="1"/>
    <col min="1027" max="1028" width="23.33203125" customWidth="1"/>
    <col min="1029" max="1029" width="14.44140625" bestFit="1" customWidth="1"/>
    <col min="1281" max="1281" width="50.109375" customWidth="1"/>
    <col min="1283" max="1284" width="23.33203125" customWidth="1"/>
    <col min="1285" max="1285" width="14.44140625" bestFit="1" customWidth="1"/>
    <col min="1537" max="1537" width="50.109375" customWidth="1"/>
    <col min="1539" max="1540" width="23.33203125" customWidth="1"/>
    <col min="1541" max="1541" width="14.44140625" bestFit="1" customWidth="1"/>
    <col min="1793" max="1793" width="50.109375" customWidth="1"/>
    <col min="1795" max="1796" width="23.33203125" customWidth="1"/>
    <col min="1797" max="1797" width="14.44140625" bestFit="1" customWidth="1"/>
    <col min="2049" max="2049" width="50.109375" customWidth="1"/>
    <col min="2051" max="2052" width="23.33203125" customWidth="1"/>
    <col min="2053" max="2053" width="14.44140625" bestFit="1" customWidth="1"/>
    <col min="2305" max="2305" width="50.109375" customWidth="1"/>
    <col min="2307" max="2308" width="23.33203125" customWidth="1"/>
    <col min="2309" max="2309" width="14.44140625" bestFit="1" customWidth="1"/>
    <col min="2561" max="2561" width="50.109375" customWidth="1"/>
    <col min="2563" max="2564" width="23.33203125" customWidth="1"/>
    <col min="2565" max="2565" width="14.44140625" bestFit="1" customWidth="1"/>
    <col min="2817" max="2817" width="50.109375" customWidth="1"/>
    <col min="2819" max="2820" width="23.33203125" customWidth="1"/>
    <col min="2821" max="2821" width="14.44140625" bestFit="1" customWidth="1"/>
    <col min="3073" max="3073" width="50.109375" customWidth="1"/>
    <col min="3075" max="3076" width="23.33203125" customWidth="1"/>
    <col min="3077" max="3077" width="14.44140625" bestFit="1" customWidth="1"/>
    <col min="3329" max="3329" width="50.109375" customWidth="1"/>
    <col min="3331" max="3332" width="23.33203125" customWidth="1"/>
    <col min="3333" max="3333" width="14.44140625" bestFit="1" customWidth="1"/>
    <col min="3585" max="3585" width="50.109375" customWidth="1"/>
    <col min="3587" max="3588" width="23.33203125" customWidth="1"/>
    <col min="3589" max="3589" width="14.44140625" bestFit="1" customWidth="1"/>
    <col min="3841" max="3841" width="50.109375" customWidth="1"/>
    <col min="3843" max="3844" width="23.33203125" customWidth="1"/>
    <col min="3845" max="3845" width="14.44140625" bestFit="1" customWidth="1"/>
    <col min="4097" max="4097" width="50.109375" customWidth="1"/>
    <col min="4099" max="4100" width="23.33203125" customWidth="1"/>
    <col min="4101" max="4101" width="14.44140625" bestFit="1" customWidth="1"/>
    <col min="4353" max="4353" width="50.109375" customWidth="1"/>
    <col min="4355" max="4356" width="23.33203125" customWidth="1"/>
    <col min="4357" max="4357" width="14.44140625" bestFit="1" customWidth="1"/>
    <col min="4609" max="4609" width="50.109375" customWidth="1"/>
    <col min="4611" max="4612" width="23.33203125" customWidth="1"/>
    <col min="4613" max="4613" width="14.44140625" bestFit="1" customWidth="1"/>
    <col min="4865" max="4865" width="50.109375" customWidth="1"/>
    <col min="4867" max="4868" width="23.33203125" customWidth="1"/>
    <col min="4869" max="4869" width="14.44140625" bestFit="1" customWidth="1"/>
    <col min="5121" max="5121" width="50.109375" customWidth="1"/>
    <col min="5123" max="5124" width="23.33203125" customWidth="1"/>
    <col min="5125" max="5125" width="14.44140625" bestFit="1" customWidth="1"/>
    <col min="5377" max="5377" width="50.109375" customWidth="1"/>
    <col min="5379" max="5380" width="23.33203125" customWidth="1"/>
    <col min="5381" max="5381" width="14.44140625" bestFit="1" customWidth="1"/>
    <col min="5633" max="5633" width="50.109375" customWidth="1"/>
    <col min="5635" max="5636" width="23.33203125" customWidth="1"/>
    <col min="5637" max="5637" width="14.44140625" bestFit="1" customWidth="1"/>
    <col min="5889" max="5889" width="50.109375" customWidth="1"/>
    <col min="5891" max="5892" width="23.33203125" customWidth="1"/>
    <col min="5893" max="5893" width="14.44140625" bestFit="1" customWidth="1"/>
    <col min="6145" max="6145" width="50.109375" customWidth="1"/>
    <col min="6147" max="6148" width="23.33203125" customWidth="1"/>
    <col min="6149" max="6149" width="14.44140625" bestFit="1" customWidth="1"/>
    <col min="6401" max="6401" width="50.109375" customWidth="1"/>
    <col min="6403" max="6404" width="23.33203125" customWidth="1"/>
    <col min="6405" max="6405" width="14.44140625" bestFit="1" customWidth="1"/>
    <col min="6657" max="6657" width="50.109375" customWidth="1"/>
    <col min="6659" max="6660" width="23.33203125" customWidth="1"/>
    <col min="6661" max="6661" width="14.44140625" bestFit="1" customWidth="1"/>
    <col min="6913" max="6913" width="50.109375" customWidth="1"/>
    <col min="6915" max="6916" width="23.33203125" customWidth="1"/>
    <col min="6917" max="6917" width="14.44140625" bestFit="1" customWidth="1"/>
    <col min="7169" max="7169" width="50.109375" customWidth="1"/>
    <col min="7171" max="7172" width="23.33203125" customWidth="1"/>
    <col min="7173" max="7173" width="14.44140625" bestFit="1" customWidth="1"/>
    <col min="7425" max="7425" width="50.109375" customWidth="1"/>
    <col min="7427" max="7428" width="23.33203125" customWidth="1"/>
    <col min="7429" max="7429" width="14.44140625" bestFit="1" customWidth="1"/>
    <col min="7681" max="7681" width="50.109375" customWidth="1"/>
    <col min="7683" max="7684" width="23.33203125" customWidth="1"/>
    <col min="7685" max="7685" width="14.44140625" bestFit="1" customWidth="1"/>
    <col min="7937" max="7937" width="50.109375" customWidth="1"/>
    <col min="7939" max="7940" width="23.33203125" customWidth="1"/>
    <col min="7941" max="7941" width="14.44140625" bestFit="1" customWidth="1"/>
    <col min="8193" max="8193" width="50.109375" customWidth="1"/>
    <col min="8195" max="8196" width="23.33203125" customWidth="1"/>
    <col min="8197" max="8197" width="14.44140625" bestFit="1" customWidth="1"/>
    <col min="8449" max="8449" width="50.109375" customWidth="1"/>
    <col min="8451" max="8452" width="23.33203125" customWidth="1"/>
    <col min="8453" max="8453" width="14.44140625" bestFit="1" customWidth="1"/>
    <col min="8705" max="8705" width="50.109375" customWidth="1"/>
    <col min="8707" max="8708" width="23.33203125" customWidth="1"/>
    <col min="8709" max="8709" width="14.44140625" bestFit="1" customWidth="1"/>
    <col min="8961" max="8961" width="50.109375" customWidth="1"/>
    <col min="8963" max="8964" width="23.33203125" customWidth="1"/>
    <col min="8965" max="8965" width="14.44140625" bestFit="1" customWidth="1"/>
    <col min="9217" max="9217" width="50.109375" customWidth="1"/>
    <col min="9219" max="9220" width="23.33203125" customWidth="1"/>
    <col min="9221" max="9221" width="14.44140625" bestFit="1" customWidth="1"/>
    <col min="9473" max="9473" width="50.109375" customWidth="1"/>
    <col min="9475" max="9476" width="23.33203125" customWidth="1"/>
    <col min="9477" max="9477" width="14.44140625" bestFit="1" customWidth="1"/>
    <col min="9729" max="9729" width="50.109375" customWidth="1"/>
    <col min="9731" max="9732" width="23.33203125" customWidth="1"/>
    <col min="9733" max="9733" width="14.44140625" bestFit="1" customWidth="1"/>
    <col min="9985" max="9985" width="50.109375" customWidth="1"/>
    <col min="9987" max="9988" width="23.33203125" customWidth="1"/>
    <col min="9989" max="9989" width="14.44140625" bestFit="1" customWidth="1"/>
    <col min="10241" max="10241" width="50.109375" customWidth="1"/>
    <col min="10243" max="10244" width="23.33203125" customWidth="1"/>
    <col min="10245" max="10245" width="14.44140625" bestFit="1" customWidth="1"/>
    <col min="10497" max="10497" width="50.109375" customWidth="1"/>
    <col min="10499" max="10500" width="23.33203125" customWidth="1"/>
    <col min="10501" max="10501" width="14.44140625" bestFit="1" customWidth="1"/>
    <col min="10753" max="10753" width="50.109375" customWidth="1"/>
    <col min="10755" max="10756" width="23.33203125" customWidth="1"/>
    <col min="10757" max="10757" width="14.44140625" bestFit="1" customWidth="1"/>
    <col min="11009" max="11009" width="50.109375" customWidth="1"/>
    <col min="11011" max="11012" width="23.33203125" customWidth="1"/>
    <col min="11013" max="11013" width="14.44140625" bestFit="1" customWidth="1"/>
    <col min="11265" max="11265" width="50.109375" customWidth="1"/>
    <col min="11267" max="11268" width="23.33203125" customWidth="1"/>
    <col min="11269" max="11269" width="14.44140625" bestFit="1" customWidth="1"/>
    <col min="11521" max="11521" width="50.109375" customWidth="1"/>
    <col min="11523" max="11524" width="23.33203125" customWidth="1"/>
    <col min="11525" max="11525" width="14.44140625" bestFit="1" customWidth="1"/>
    <col min="11777" max="11777" width="50.109375" customWidth="1"/>
    <col min="11779" max="11780" width="23.33203125" customWidth="1"/>
    <col min="11781" max="11781" width="14.44140625" bestFit="1" customWidth="1"/>
    <col min="12033" max="12033" width="50.109375" customWidth="1"/>
    <col min="12035" max="12036" width="23.33203125" customWidth="1"/>
    <col min="12037" max="12037" width="14.44140625" bestFit="1" customWidth="1"/>
    <col min="12289" max="12289" width="50.109375" customWidth="1"/>
    <col min="12291" max="12292" width="23.33203125" customWidth="1"/>
    <col min="12293" max="12293" width="14.44140625" bestFit="1" customWidth="1"/>
    <col min="12545" max="12545" width="50.109375" customWidth="1"/>
    <col min="12547" max="12548" width="23.33203125" customWidth="1"/>
    <col min="12549" max="12549" width="14.44140625" bestFit="1" customWidth="1"/>
    <col min="12801" max="12801" width="50.109375" customWidth="1"/>
    <col min="12803" max="12804" width="23.33203125" customWidth="1"/>
    <col min="12805" max="12805" width="14.44140625" bestFit="1" customWidth="1"/>
    <col min="13057" max="13057" width="50.109375" customWidth="1"/>
    <col min="13059" max="13060" width="23.33203125" customWidth="1"/>
    <col min="13061" max="13061" width="14.44140625" bestFit="1" customWidth="1"/>
    <col min="13313" max="13313" width="50.109375" customWidth="1"/>
    <col min="13315" max="13316" width="23.33203125" customWidth="1"/>
    <col min="13317" max="13317" width="14.44140625" bestFit="1" customWidth="1"/>
    <col min="13569" max="13569" width="50.109375" customWidth="1"/>
    <col min="13571" max="13572" width="23.33203125" customWidth="1"/>
    <col min="13573" max="13573" width="14.44140625" bestFit="1" customWidth="1"/>
    <col min="13825" max="13825" width="50.109375" customWidth="1"/>
    <col min="13827" max="13828" width="23.33203125" customWidth="1"/>
    <col min="13829" max="13829" width="14.44140625" bestFit="1" customWidth="1"/>
    <col min="14081" max="14081" width="50.109375" customWidth="1"/>
    <col min="14083" max="14084" width="23.33203125" customWidth="1"/>
    <col min="14085" max="14085" width="14.44140625" bestFit="1" customWidth="1"/>
    <col min="14337" max="14337" width="50.109375" customWidth="1"/>
    <col min="14339" max="14340" width="23.33203125" customWidth="1"/>
    <col min="14341" max="14341" width="14.44140625" bestFit="1" customWidth="1"/>
    <col min="14593" max="14593" width="50.109375" customWidth="1"/>
    <col min="14595" max="14596" width="23.33203125" customWidth="1"/>
    <col min="14597" max="14597" width="14.44140625" bestFit="1" customWidth="1"/>
    <col min="14849" max="14849" width="50.109375" customWidth="1"/>
    <col min="14851" max="14852" width="23.33203125" customWidth="1"/>
    <col min="14853" max="14853" width="14.44140625" bestFit="1" customWidth="1"/>
    <col min="15105" max="15105" width="50.109375" customWidth="1"/>
    <col min="15107" max="15108" width="23.33203125" customWidth="1"/>
    <col min="15109" max="15109" width="14.44140625" bestFit="1" customWidth="1"/>
    <col min="15361" max="15361" width="50.109375" customWidth="1"/>
    <col min="15363" max="15364" width="23.33203125" customWidth="1"/>
    <col min="15365" max="15365" width="14.44140625" bestFit="1" customWidth="1"/>
    <col min="15617" max="15617" width="50.109375" customWidth="1"/>
    <col min="15619" max="15620" width="23.33203125" customWidth="1"/>
    <col min="15621" max="15621" width="14.44140625" bestFit="1" customWidth="1"/>
    <col min="15873" max="15873" width="50.109375" customWidth="1"/>
    <col min="15875" max="15876" width="23.33203125" customWidth="1"/>
    <col min="15877" max="15877" width="14.44140625" bestFit="1" customWidth="1"/>
    <col min="16129" max="16129" width="50.109375" customWidth="1"/>
    <col min="16131" max="16132" width="23.33203125" customWidth="1"/>
    <col min="16133" max="16133" width="14.44140625" bestFit="1" customWidth="1"/>
  </cols>
  <sheetData>
    <row r="2" spans="1:4" ht="15.6">
      <c r="A2" s="631" t="s">
        <v>293</v>
      </c>
      <c r="B2" s="631"/>
      <c r="C2" s="631"/>
      <c r="D2" s="631"/>
    </row>
    <row r="3" spans="1:4" ht="57.75" customHeight="1">
      <c r="A3" s="30" t="s">
        <v>113</v>
      </c>
      <c r="B3" s="30" t="s">
        <v>114</v>
      </c>
      <c r="C3" s="30" t="s">
        <v>115</v>
      </c>
      <c r="D3" s="30" t="s">
        <v>294</v>
      </c>
    </row>
    <row r="4" spans="1:4" ht="15">
      <c r="A4" s="27" t="s">
        <v>295</v>
      </c>
      <c r="B4" s="31">
        <v>1</v>
      </c>
      <c r="C4" s="32">
        <f>(28000000+19000000+20000000)*1.1</f>
        <v>73700000</v>
      </c>
      <c r="D4" s="33">
        <f t="shared" ref="D4:D27" si="0">+B4*C4</f>
        <v>73700000</v>
      </c>
    </row>
    <row r="5" spans="1:4" ht="30">
      <c r="A5" s="27" t="s">
        <v>296</v>
      </c>
      <c r="B5" s="31">
        <v>1</v>
      </c>
      <c r="C5" s="32">
        <f>(1870000-600000)*1.1</f>
        <v>1397000</v>
      </c>
      <c r="D5" s="33">
        <f t="shared" si="0"/>
        <v>1397000</v>
      </c>
    </row>
    <row r="6" spans="1:4" ht="15">
      <c r="A6" s="27" t="s">
        <v>297</v>
      </c>
      <c r="B6" s="31">
        <v>1</v>
      </c>
      <c r="C6" s="32">
        <f>1200000*1.1</f>
        <v>1320000</v>
      </c>
      <c r="D6" s="33">
        <f t="shared" si="0"/>
        <v>1320000</v>
      </c>
    </row>
    <row r="7" spans="1:4" ht="15">
      <c r="A7" s="27" t="s">
        <v>298</v>
      </c>
      <c r="B7" s="31">
        <v>1</v>
      </c>
      <c r="C7" s="32">
        <f>1150000*1.1</f>
        <v>1265000</v>
      </c>
      <c r="D7" s="33">
        <f t="shared" si="0"/>
        <v>1265000</v>
      </c>
    </row>
    <row r="8" spans="1:4" s="37" customFormat="1" ht="39" customHeight="1">
      <c r="A8" s="28" t="s">
        <v>299</v>
      </c>
      <c r="B8" s="34">
        <v>1</v>
      </c>
      <c r="C8" s="35">
        <f>22000000*1.1</f>
        <v>24200000.000000004</v>
      </c>
      <c r="D8" s="36">
        <f t="shared" si="0"/>
        <v>24200000.000000004</v>
      </c>
    </row>
    <row r="9" spans="1:4" s="37" customFormat="1" ht="15">
      <c r="A9" s="28" t="s">
        <v>300</v>
      </c>
      <c r="B9" s="34">
        <v>1</v>
      </c>
      <c r="C9" s="35">
        <f>300000*1.1</f>
        <v>330000</v>
      </c>
      <c r="D9" s="36">
        <f t="shared" si="0"/>
        <v>330000</v>
      </c>
    </row>
    <row r="10" spans="1:4" s="37" customFormat="1" ht="15">
      <c r="A10" s="28" t="s">
        <v>301</v>
      </c>
      <c r="B10" s="34">
        <v>1</v>
      </c>
      <c r="C10" s="35">
        <f>25000000*1.1</f>
        <v>27500000.000000004</v>
      </c>
      <c r="D10" s="36">
        <f t="shared" si="0"/>
        <v>27500000.000000004</v>
      </c>
    </row>
    <row r="11" spans="1:4" s="37" customFormat="1" ht="15">
      <c r="A11" s="28" t="s">
        <v>838</v>
      </c>
      <c r="B11" s="34">
        <v>1</v>
      </c>
      <c r="C11" s="35">
        <f>600000*1.1</f>
        <v>660000</v>
      </c>
      <c r="D11" s="36">
        <f t="shared" si="0"/>
        <v>660000</v>
      </c>
    </row>
    <row r="12" spans="1:4" s="37" customFormat="1" ht="15">
      <c r="A12" s="28" t="s">
        <v>839</v>
      </c>
      <c r="B12" s="34">
        <v>1</v>
      </c>
      <c r="C12" s="35">
        <f>300000*1.1</f>
        <v>330000</v>
      </c>
      <c r="D12" s="36">
        <f t="shared" si="0"/>
        <v>330000</v>
      </c>
    </row>
    <row r="13" spans="1:4" s="37" customFormat="1" ht="15">
      <c r="A13" s="28" t="s">
        <v>840</v>
      </c>
      <c r="B13" s="34">
        <v>1</v>
      </c>
      <c r="C13" s="35">
        <f>(2000000+1100000)*1.1</f>
        <v>3410000.0000000005</v>
      </c>
      <c r="D13" s="36">
        <f t="shared" si="0"/>
        <v>3410000.0000000005</v>
      </c>
    </row>
    <row r="14" spans="1:4" s="37" customFormat="1" ht="15">
      <c r="A14" s="28" t="s">
        <v>841</v>
      </c>
      <c r="B14" s="34">
        <v>1</v>
      </c>
      <c r="C14" s="35">
        <f>6600000*1.1</f>
        <v>7260000.0000000009</v>
      </c>
      <c r="D14" s="36">
        <f t="shared" si="0"/>
        <v>7260000.0000000009</v>
      </c>
    </row>
    <row r="15" spans="1:4" ht="15">
      <c r="A15" s="27" t="s">
        <v>842</v>
      </c>
      <c r="B15" s="31">
        <v>1</v>
      </c>
      <c r="C15" s="32">
        <f>200000*1.1</f>
        <v>220000.00000000003</v>
      </c>
      <c r="D15" s="33">
        <f t="shared" si="0"/>
        <v>220000.00000000003</v>
      </c>
    </row>
    <row r="16" spans="1:4" ht="15">
      <c r="A16" s="27" t="s">
        <v>843</v>
      </c>
      <c r="B16" s="31">
        <v>1</v>
      </c>
      <c r="C16" s="32">
        <f>200000*1.1</f>
        <v>220000.00000000003</v>
      </c>
      <c r="D16" s="33">
        <f t="shared" si="0"/>
        <v>220000.00000000003</v>
      </c>
    </row>
    <row r="17" spans="1:5" ht="15">
      <c r="A17" s="27" t="s">
        <v>844</v>
      </c>
      <c r="B17" s="31">
        <v>1</v>
      </c>
      <c r="C17" s="32">
        <f>200000*1.1</f>
        <v>220000.00000000003</v>
      </c>
      <c r="D17" s="33">
        <f t="shared" si="0"/>
        <v>220000.00000000003</v>
      </c>
    </row>
    <row r="18" spans="1:5" ht="15">
      <c r="A18" s="27" t="s">
        <v>845</v>
      </c>
      <c r="B18" s="31">
        <v>1</v>
      </c>
      <c r="C18" s="32">
        <f>200000*1.1</f>
        <v>220000.00000000003</v>
      </c>
      <c r="D18" s="33">
        <f t="shared" si="0"/>
        <v>220000.00000000003</v>
      </c>
    </row>
    <row r="19" spans="1:5" ht="38.25" customHeight="1">
      <c r="A19" s="27" t="s">
        <v>846</v>
      </c>
      <c r="B19" s="31">
        <v>1</v>
      </c>
      <c r="C19" s="32">
        <f>(2000000+1200000)*1.1</f>
        <v>3520000.0000000005</v>
      </c>
      <c r="D19" s="33">
        <f t="shared" si="0"/>
        <v>3520000.0000000005</v>
      </c>
    </row>
    <row r="20" spans="1:5" ht="15">
      <c r="A20" s="27" t="s">
        <v>847</v>
      </c>
      <c r="B20" s="31">
        <v>1</v>
      </c>
      <c r="C20" s="32">
        <f>700000*1.1</f>
        <v>770000.00000000012</v>
      </c>
      <c r="D20" s="33">
        <f t="shared" si="0"/>
        <v>770000.00000000012</v>
      </c>
    </row>
    <row r="21" spans="1:5" ht="15">
      <c r="A21" s="27" t="s">
        <v>848</v>
      </c>
      <c r="B21" s="31">
        <v>1</v>
      </c>
      <c r="C21" s="32">
        <f>300000*1.1</f>
        <v>330000</v>
      </c>
      <c r="D21" s="33">
        <f t="shared" si="0"/>
        <v>330000</v>
      </c>
    </row>
    <row r="22" spans="1:5" ht="15">
      <c r="A22" s="27" t="s">
        <v>849</v>
      </c>
      <c r="B22" s="31">
        <v>1</v>
      </c>
      <c r="C22" s="32">
        <f>200000*1.1</f>
        <v>220000.00000000003</v>
      </c>
      <c r="D22" s="33">
        <f t="shared" si="0"/>
        <v>220000.00000000003</v>
      </c>
    </row>
    <row r="23" spans="1:5" ht="15">
      <c r="A23" s="27" t="s">
        <v>850</v>
      </c>
      <c r="B23" s="31">
        <v>1</v>
      </c>
      <c r="C23" s="32">
        <f>200000*1.1</f>
        <v>220000.00000000003</v>
      </c>
      <c r="D23" s="33">
        <f t="shared" si="0"/>
        <v>220000.00000000003</v>
      </c>
    </row>
    <row r="24" spans="1:5" ht="15">
      <c r="A24" s="27" t="s">
        <v>851</v>
      </c>
      <c r="B24" s="31">
        <v>1</v>
      </c>
      <c r="C24" s="32">
        <f>200000*1.1</f>
        <v>220000.00000000003</v>
      </c>
      <c r="D24" s="33">
        <f t="shared" si="0"/>
        <v>220000.00000000003</v>
      </c>
    </row>
    <row r="25" spans="1:5" ht="15">
      <c r="A25" s="27" t="s">
        <v>852</v>
      </c>
      <c r="B25" s="31">
        <v>1</v>
      </c>
      <c r="C25" s="32">
        <f>200000*1.1</f>
        <v>220000.00000000003</v>
      </c>
      <c r="D25" s="33">
        <f t="shared" si="0"/>
        <v>220000.00000000003</v>
      </c>
    </row>
    <row r="26" spans="1:5" ht="15">
      <c r="A26" s="27" t="s">
        <v>853</v>
      </c>
      <c r="B26" s="31">
        <v>1</v>
      </c>
      <c r="C26" s="32">
        <f>100000*1.1</f>
        <v>110000.00000000001</v>
      </c>
      <c r="D26" s="33">
        <f t="shared" si="0"/>
        <v>110000.00000000001</v>
      </c>
    </row>
    <row r="27" spans="1:5" ht="15">
      <c r="A27" s="27" t="s">
        <v>854</v>
      </c>
      <c r="B27" s="31">
        <v>1</v>
      </c>
      <c r="C27" s="32">
        <f>12000000*1.1</f>
        <v>13200000.000000002</v>
      </c>
      <c r="D27" s="33">
        <f t="shared" si="0"/>
        <v>13200000.000000002</v>
      </c>
    </row>
    <row r="28" spans="1:5" ht="15">
      <c r="A28" s="27" t="s">
        <v>855</v>
      </c>
      <c r="B28" s="31">
        <v>1</v>
      </c>
      <c r="C28" s="33">
        <f>3600000*1.1</f>
        <v>3960000.0000000005</v>
      </c>
      <c r="D28" s="33">
        <f>+C28</f>
        <v>3960000.0000000005</v>
      </c>
    </row>
    <row r="29" spans="1:5" ht="15">
      <c r="A29" s="27" t="s">
        <v>856</v>
      </c>
      <c r="B29" s="31">
        <v>1</v>
      </c>
      <c r="C29" s="33">
        <f>1.1*16500000*1.1</f>
        <v>19965000</v>
      </c>
      <c r="D29" s="33">
        <f>+C29</f>
        <v>19965000</v>
      </c>
      <c r="E29" t="s">
        <v>302</v>
      </c>
    </row>
    <row r="30" spans="1:5" ht="15">
      <c r="A30" s="27" t="s">
        <v>857</v>
      </c>
      <c r="B30" s="31">
        <v>1</v>
      </c>
      <c r="C30" s="33">
        <f>(400000*12)*1.1</f>
        <v>5280000</v>
      </c>
      <c r="D30" s="33">
        <f>+C30</f>
        <v>5280000</v>
      </c>
      <c r="E30" t="s">
        <v>303</v>
      </c>
    </row>
    <row r="31" spans="1:5" ht="15">
      <c r="A31" s="27" t="s">
        <v>858</v>
      </c>
      <c r="B31" s="31">
        <f>37+7+22</f>
        <v>66</v>
      </c>
      <c r="C31" s="33">
        <f>60000*12*1.1</f>
        <v>792000.00000000012</v>
      </c>
      <c r="D31" s="33">
        <f>+B31*C31</f>
        <v>52272000.000000007</v>
      </c>
      <c r="E31" t="s">
        <v>304</v>
      </c>
    </row>
    <row r="32" spans="1:5" s="106" customFormat="1" ht="15">
      <c r="A32" s="29" t="s">
        <v>811</v>
      </c>
      <c r="B32" s="38">
        <v>1</v>
      </c>
      <c r="C32" s="39">
        <f>26000000*1.1</f>
        <v>28600000.000000004</v>
      </c>
      <c r="D32" s="33">
        <f>+B32*C32</f>
        <v>28600000.000000004</v>
      </c>
    </row>
    <row r="33" spans="1:4" s="106" customFormat="1" ht="15">
      <c r="A33" s="29" t="s">
        <v>1003</v>
      </c>
      <c r="B33" s="38">
        <v>2</v>
      </c>
      <c r="C33" s="39">
        <v>580000</v>
      </c>
      <c r="D33" s="33">
        <f>+B33*C33</f>
        <v>1160000</v>
      </c>
    </row>
    <row r="34" spans="1:4" ht="15.6" thickBot="1">
      <c r="A34" s="29" t="s">
        <v>812</v>
      </c>
      <c r="B34" s="38">
        <v>1</v>
      </c>
      <c r="C34" s="39">
        <f>8000000*1.1</f>
        <v>8800000</v>
      </c>
      <c r="D34" s="39">
        <f>+C34</f>
        <v>8800000</v>
      </c>
    </row>
    <row r="35" spans="1:4" ht="16.2" thickBot="1">
      <c r="A35" s="632" t="s">
        <v>305</v>
      </c>
      <c r="B35" s="633"/>
      <c r="C35" s="634"/>
      <c r="D35" s="40">
        <f>SUM(D4:D34)</f>
        <v>281099000</v>
      </c>
    </row>
  </sheetData>
  <mergeCells count="2">
    <mergeCell ref="A2:D2"/>
    <mergeCell ref="A35:C35"/>
  </mergeCells>
  <pageMargins left="0.7" right="0.7" top="0.75" bottom="0.75" header="0.3" footer="0.3"/>
  <pageSetup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view="pageBreakPreview" topLeftCell="A10" zoomScale="110" zoomScaleSheetLayoutView="110" workbookViewId="0">
      <selection activeCell="B7" sqref="B7"/>
    </sheetView>
  </sheetViews>
  <sheetFormatPr baseColWidth="10" defaultColWidth="11.44140625" defaultRowHeight="15.6"/>
  <cols>
    <col min="1" max="1" width="23.44140625" style="5" customWidth="1"/>
    <col min="2" max="2" width="15.33203125" style="41" customWidth="1"/>
    <col min="3" max="3" width="23.109375" style="41" customWidth="1"/>
    <col min="4" max="4" width="22.88671875" style="41" customWidth="1"/>
    <col min="5" max="5" width="32.6640625" style="41" customWidth="1"/>
    <col min="6" max="6" width="11.44140625" style="41"/>
    <col min="7" max="7" width="13.33203125" style="5" bestFit="1" customWidth="1"/>
    <col min="8" max="8" width="14.44140625" style="5" bestFit="1" customWidth="1"/>
    <col min="9" max="256" width="11.44140625" style="5"/>
    <col min="257" max="257" width="23.44140625" style="5" customWidth="1"/>
    <col min="258" max="258" width="15.33203125" style="5" customWidth="1"/>
    <col min="259" max="259" width="23.109375" style="5" customWidth="1"/>
    <col min="260" max="260" width="22.88671875" style="5" customWidth="1"/>
    <col min="261" max="261" width="32.6640625" style="5" customWidth="1"/>
    <col min="262" max="262" width="11.44140625" style="5"/>
    <col min="263" max="263" width="13.33203125" style="5" bestFit="1" customWidth="1"/>
    <col min="264" max="264" width="14.44140625" style="5" bestFit="1" customWidth="1"/>
    <col min="265" max="512" width="11.44140625" style="5"/>
    <col min="513" max="513" width="23.44140625" style="5" customWidth="1"/>
    <col min="514" max="514" width="15.33203125" style="5" customWidth="1"/>
    <col min="515" max="515" width="23.109375" style="5" customWidth="1"/>
    <col min="516" max="516" width="22.88671875" style="5" customWidth="1"/>
    <col min="517" max="517" width="32.6640625" style="5" customWidth="1"/>
    <col min="518" max="518" width="11.44140625" style="5"/>
    <col min="519" max="519" width="13.33203125" style="5" bestFit="1" customWidth="1"/>
    <col min="520" max="520" width="14.44140625" style="5" bestFit="1" customWidth="1"/>
    <col min="521" max="768" width="11.44140625" style="5"/>
    <col min="769" max="769" width="23.44140625" style="5" customWidth="1"/>
    <col min="770" max="770" width="15.33203125" style="5" customWidth="1"/>
    <col min="771" max="771" width="23.109375" style="5" customWidth="1"/>
    <col min="772" max="772" width="22.88671875" style="5" customWidth="1"/>
    <col min="773" max="773" width="32.6640625" style="5" customWidth="1"/>
    <col min="774" max="774" width="11.44140625" style="5"/>
    <col min="775" max="775" width="13.33203125" style="5" bestFit="1" customWidth="1"/>
    <col min="776" max="776" width="14.44140625" style="5" bestFit="1" customWidth="1"/>
    <col min="777" max="1024" width="11.44140625" style="5"/>
    <col min="1025" max="1025" width="23.44140625" style="5" customWidth="1"/>
    <col min="1026" max="1026" width="15.33203125" style="5" customWidth="1"/>
    <col min="1027" max="1027" width="23.109375" style="5" customWidth="1"/>
    <col min="1028" max="1028" width="22.88671875" style="5" customWidth="1"/>
    <col min="1029" max="1029" width="32.6640625" style="5" customWidth="1"/>
    <col min="1030" max="1030" width="11.44140625" style="5"/>
    <col min="1031" max="1031" width="13.33203125" style="5" bestFit="1" customWidth="1"/>
    <col min="1032" max="1032" width="14.44140625" style="5" bestFit="1" customWidth="1"/>
    <col min="1033" max="1280" width="11.44140625" style="5"/>
    <col min="1281" max="1281" width="23.44140625" style="5" customWidth="1"/>
    <col min="1282" max="1282" width="15.33203125" style="5" customWidth="1"/>
    <col min="1283" max="1283" width="23.109375" style="5" customWidth="1"/>
    <col min="1284" max="1284" width="22.88671875" style="5" customWidth="1"/>
    <col min="1285" max="1285" width="32.6640625" style="5" customWidth="1"/>
    <col min="1286" max="1286" width="11.44140625" style="5"/>
    <col min="1287" max="1287" width="13.33203125" style="5" bestFit="1" customWidth="1"/>
    <col min="1288" max="1288" width="14.44140625" style="5" bestFit="1" customWidth="1"/>
    <col min="1289" max="1536" width="11.44140625" style="5"/>
    <col min="1537" max="1537" width="23.44140625" style="5" customWidth="1"/>
    <col min="1538" max="1538" width="15.33203125" style="5" customWidth="1"/>
    <col min="1539" max="1539" width="23.109375" style="5" customWidth="1"/>
    <col min="1540" max="1540" width="22.88671875" style="5" customWidth="1"/>
    <col min="1541" max="1541" width="32.6640625" style="5" customWidth="1"/>
    <col min="1542" max="1542" width="11.44140625" style="5"/>
    <col min="1543" max="1543" width="13.33203125" style="5" bestFit="1" customWidth="1"/>
    <col min="1544" max="1544" width="14.44140625" style="5" bestFit="1" customWidth="1"/>
    <col min="1545" max="1792" width="11.44140625" style="5"/>
    <col min="1793" max="1793" width="23.44140625" style="5" customWidth="1"/>
    <col min="1794" max="1794" width="15.33203125" style="5" customWidth="1"/>
    <col min="1795" max="1795" width="23.109375" style="5" customWidth="1"/>
    <col min="1796" max="1796" width="22.88671875" style="5" customWidth="1"/>
    <col min="1797" max="1797" width="32.6640625" style="5" customWidth="1"/>
    <col min="1798" max="1798" width="11.44140625" style="5"/>
    <col min="1799" max="1799" width="13.33203125" style="5" bestFit="1" customWidth="1"/>
    <col min="1800" max="1800" width="14.44140625" style="5" bestFit="1" customWidth="1"/>
    <col min="1801" max="2048" width="11.44140625" style="5"/>
    <col min="2049" max="2049" width="23.44140625" style="5" customWidth="1"/>
    <col min="2050" max="2050" width="15.33203125" style="5" customWidth="1"/>
    <col min="2051" max="2051" width="23.109375" style="5" customWidth="1"/>
    <col min="2052" max="2052" width="22.88671875" style="5" customWidth="1"/>
    <col min="2053" max="2053" width="32.6640625" style="5" customWidth="1"/>
    <col min="2054" max="2054" width="11.44140625" style="5"/>
    <col min="2055" max="2055" width="13.33203125" style="5" bestFit="1" customWidth="1"/>
    <col min="2056" max="2056" width="14.44140625" style="5" bestFit="1" customWidth="1"/>
    <col min="2057" max="2304" width="11.44140625" style="5"/>
    <col min="2305" max="2305" width="23.44140625" style="5" customWidth="1"/>
    <col min="2306" max="2306" width="15.33203125" style="5" customWidth="1"/>
    <col min="2307" max="2307" width="23.109375" style="5" customWidth="1"/>
    <col min="2308" max="2308" width="22.88671875" style="5" customWidth="1"/>
    <col min="2309" max="2309" width="32.6640625" style="5" customWidth="1"/>
    <col min="2310" max="2310" width="11.44140625" style="5"/>
    <col min="2311" max="2311" width="13.33203125" style="5" bestFit="1" customWidth="1"/>
    <col min="2312" max="2312" width="14.44140625" style="5" bestFit="1" customWidth="1"/>
    <col min="2313" max="2560" width="11.44140625" style="5"/>
    <col min="2561" max="2561" width="23.44140625" style="5" customWidth="1"/>
    <col min="2562" max="2562" width="15.33203125" style="5" customWidth="1"/>
    <col min="2563" max="2563" width="23.109375" style="5" customWidth="1"/>
    <col min="2564" max="2564" width="22.88671875" style="5" customWidth="1"/>
    <col min="2565" max="2565" width="32.6640625" style="5" customWidth="1"/>
    <col min="2566" max="2566" width="11.44140625" style="5"/>
    <col min="2567" max="2567" width="13.33203125" style="5" bestFit="1" customWidth="1"/>
    <col min="2568" max="2568" width="14.44140625" style="5" bestFit="1" customWidth="1"/>
    <col min="2569" max="2816" width="11.44140625" style="5"/>
    <col min="2817" max="2817" width="23.44140625" style="5" customWidth="1"/>
    <col min="2818" max="2818" width="15.33203125" style="5" customWidth="1"/>
    <col min="2819" max="2819" width="23.109375" style="5" customWidth="1"/>
    <col min="2820" max="2820" width="22.88671875" style="5" customWidth="1"/>
    <col min="2821" max="2821" width="32.6640625" style="5" customWidth="1"/>
    <col min="2822" max="2822" width="11.44140625" style="5"/>
    <col min="2823" max="2823" width="13.33203125" style="5" bestFit="1" customWidth="1"/>
    <col min="2824" max="2824" width="14.44140625" style="5" bestFit="1" customWidth="1"/>
    <col min="2825" max="3072" width="11.44140625" style="5"/>
    <col min="3073" max="3073" width="23.44140625" style="5" customWidth="1"/>
    <col min="3074" max="3074" width="15.33203125" style="5" customWidth="1"/>
    <col min="3075" max="3075" width="23.109375" style="5" customWidth="1"/>
    <col min="3076" max="3076" width="22.88671875" style="5" customWidth="1"/>
    <col min="3077" max="3077" width="32.6640625" style="5" customWidth="1"/>
    <col min="3078" max="3078" width="11.44140625" style="5"/>
    <col min="3079" max="3079" width="13.33203125" style="5" bestFit="1" customWidth="1"/>
    <col min="3080" max="3080" width="14.44140625" style="5" bestFit="1" customWidth="1"/>
    <col min="3081" max="3328" width="11.44140625" style="5"/>
    <col min="3329" max="3329" width="23.44140625" style="5" customWidth="1"/>
    <col min="3330" max="3330" width="15.33203125" style="5" customWidth="1"/>
    <col min="3331" max="3331" width="23.109375" style="5" customWidth="1"/>
    <col min="3332" max="3332" width="22.88671875" style="5" customWidth="1"/>
    <col min="3333" max="3333" width="32.6640625" style="5" customWidth="1"/>
    <col min="3334" max="3334" width="11.44140625" style="5"/>
    <col min="3335" max="3335" width="13.33203125" style="5" bestFit="1" customWidth="1"/>
    <col min="3336" max="3336" width="14.44140625" style="5" bestFit="1" customWidth="1"/>
    <col min="3337" max="3584" width="11.44140625" style="5"/>
    <col min="3585" max="3585" width="23.44140625" style="5" customWidth="1"/>
    <col min="3586" max="3586" width="15.33203125" style="5" customWidth="1"/>
    <col min="3587" max="3587" width="23.109375" style="5" customWidth="1"/>
    <col min="3588" max="3588" width="22.88671875" style="5" customWidth="1"/>
    <col min="3589" max="3589" width="32.6640625" style="5" customWidth="1"/>
    <col min="3590" max="3590" width="11.44140625" style="5"/>
    <col min="3591" max="3591" width="13.33203125" style="5" bestFit="1" customWidth="1"/>
    <col min="3592" max="3592" width="14.44140625" style="5" bestFit="1" customWidth="1"/>
    <col min="3593" max="3840" width="11.44140625" style="5"/>
    <col min="3841" max="3841" width="23.44140625" style="5" customWidth="1"/>
    <col min="3842" max="3842" width="15.33203125" style="5" customWidth="1"/>
    <col min="3843" max="3843" width="23.109375" style="5" customWidth="1"/>
    <col min="3844" max="3844" width="22.88671875" style="5" customWidth="1"/>
    <col min="3845" max="3845" width="32.6640625" style="5" customWidth="1"/>
    <col min="3846" max="3846" width="11.44140625" style="5"/>
    <col min="3847" max="3847" width="13.33203125" style="5" bestFit="1" customWidth="1"/>
    <col min="3848" max="3848" width="14.44140625" style="5" bestFit="1" customWidth="1"/>
    <col min="3849" max="4096" width="11.44140625" style="5"/>
    <col min="4097" max="4097" width="23.44140625" style="5" customWidth="1"/>
    <col min="4098" max="4098" width="15.33203125" style="5" customWidth="1"/>
    <col min="4099" max="4099" width="23.109375" style="5" customWidth="1"/>
    <col min="4100" max="4100" width="22.88671875" style="5" customWidth="1"/>
    <col min="4101" max="4101" width="32.6640625" style="5" customWidth="1"/>
    <col min="4102" max="4102" width="11.44140625" style="5"/>
    <col min="4103" max="4103" width="13.33203125" style="5" bestFit="1" customWidth="1"/>
    <col min="4104" max="4104" width="14.44140625" style="5" bestFit="1" customWidth="1"/>
    <col min="4105" max="4352" width="11.44140625" style="5"/>
    <col min="4353" max="4353" width="23.44140625" style="5" customWidth="1"/>
    <col min="4354" max="4354" width="15.33203125" style="5" customWidth="1"/>
    <col min="4355" max="4355" width="23.109375" style="5" customWidth="1"/>
    <col min="4356" max="4356" width="22.88671875" style="5" customWidth="1"/>
    <col min="4357" max="4357" width="32.6640625" style="5" customWidth="1"/>
    <col min="4358" max="4358" width="11.44140625" style="5"/>
    <col min="4359" max="4359" width="13.33203125" style="5" bestFit="1" customWidth="1"/>
    <col min="4360" max="4360" width="14.44140625" style="5" bestFit="1" customWidth="1"/>
    <col min="4361" max="4608" width="11.44140625" style="5"/>
    <col min="4609" max="4609" width="23.44140625" style="5" customWidth="1"/>
    <col min="4610" max="4610" width="15.33203125" style="5" customWidth="1"/>
    <col min="4611" max="4611" width="23.109375" style="5" customWidth="1"/>
    <col min="4612" max="4612" width="22.88671875" style="5" customWidth="1"/>
    <col min="4613" max="4613" width="32.6640625" style="5" customWidth="1"/>
    <col min="4614" max="4614" width="11.44140625" style="5"/>
    <col min="4615" max="4615" width="13.33203125" style="5" bestFit="1" customWidth="1"/>
    <col min="4616" max="4616" width="14.44140625" style="5" bestFit="1" customWidth="1"/>
    <col min="4617" max="4864" width="11.44140625" style="5"/>
    <col min="4865" max="4865" width="23.44140625" style="5" customWidth="1"/>
    <col min="4866" max="4866" width="15.33203125" style="5" customWidth="1"/>
    <col min="4867" max="4867" width="23.109375" style="5" customWidth="1"/>
    <col min="4868" max="4868" width="22.88671875" style="5" customWidth="1"/>
    <col min="4869" max="4869" width="32.6640625" style="5" customWidth="1"/>
    <col min="4870" max="4870" width="11.44140625" style="5"/>
    <col min="4871" max="4871" width="13.33203125" style="5" bestFit="1" customWidth="1"/>
    <col min="4872" max="4872" width="14.44140625" style="5" bestFit="1" customWidth="1"/>
    <col min="4873" max="5120" width="11.44140625" style="5"/>
    <col min="5121" max="5121" width="23.44140625" style="5" customWidth="1"/>
    <col min="5122" max="5122" width="15.33203125" style="5" customWidth="1"/>
    <col min="5123" max="5123" width="23.109375" style="5" customWidth="1"/>
    <col min="5124" max="5124" width="22.88671875" style="5" customWidth="1"/>
    <col min="5125" max="5125" width="32.6640625" style="5" customWidth="1"/>
    <col min="5126" max="5126" width="11.44140625" style="5"/>
    <col min="5127" max="5127" width="13.33203125" style="5" bestFit="1" customWidth="1"/>
    <col min="5128" max="5128" width="14.44140625" style="5" bestFit="1" customWidth="1"/>
    <col min="5129" max="5376" width="11.44140625" style="5"/>
    <col min="5377" max="5377" width="23.44140625" style="5" customWidth="1"/>
    <col min="5378" max="5378" width="15.33203125" style="5" customWidth="1"/>
    <col min="5379" max="5379" width="23.109375" style="5" customWidth="1"/>
    <col min="5380" max="5380" width="22.88671875" style="5" customWidth="1"/>
    <col min="5381" max="5381" width="32.6640625" style="5" customWidth="1"/>
    <col min="5382" max="5382" width="11.44140625" style="5"/>
    <col min="5383" max="5383" width="13.33203125" style="5" bestFit="1" customWidth="1"/>
    <col min="5384" max="5384" width="14.44140625" style="5" bestFit="1" customWidth="1"/>
    <col min="5385" max="5632" width="11.44140625" style="5"/>
    <col min="5633" max="5633" width="23.44140625" style="5" customWidth="1"/>
    <col min="5634" max="5634" width="15.33203125" style="5" customWidth="1"/>
    <col min="5635" max="5635" width="23.109375" style="5" customWidth="1"/>
    <col min="5636" max="5636" width="22.88671875" style="5" customWidth="1"/>
    <col min="5637" max="5637" width="32.6640625" style="5" customWidth="1"/>
    <col min="5638" max="5638" width="11.44140625" style="5"/>
    <col min="5639" max="5639" width="13.33203125" style="5" bestFit="1" customWidth="1"/>
    <col min="5640" max="5640" width="14.44140625" style="5" bestFit="1" customWidth="1"/>
    <col min="5641" max="5888" width="11.44140625" style="5"/>
    <col min="5889" max="5889" width="23.44140625" style="5" customWidth="1"/>
    <col min="5890" max="5890" width="15.33203125" style="5" customWidth="1"/>
    <col min="5891" max="5891" width="23.109375" style="5" customWidth="1"/>
    <col min="5892" max="5892" width="22.88671875" style="5" customWidth="1"/>
    <col min="5893" max="5893" width="32.6640625" style="5" customWidth="1"/>
    <col min="5894" max="5894" width="11.44140625" style="5"/>
    <col min="5895" max="5895" width="13.33203125" style="5" bestFit="1" customWidth="1"/>
    <col min="5896" max="5896" width="14.44140625" style="5" bestFit="1" customWidth="1"/>
    <col min="5897" max="6144" width="11.44140625" style="5"/>
    <col min="6145" max="6145" width="23.44140625" style="5" customWidth="1"/>
    <col min="6146" max="6146" width="15.33203125" style="5" customWidth="1"/>
    <col min="6147" max="6147" width="23.109375" style="5" customWidth="1"/>
    <col min="6148" max="6148" width="22.88671875" style="5" customWidth="1"/>
    <col min="6149" max="6149" width="32.6640625" style="5" customWidth="1"/>
    <col min="6150" max="6150" width="11.44140625" style="5"/>
    <col min="6151" max="6151" width="13.33203125" style="5" bestFit="1" customWidth="1"/>
    <col min="6152" max="6152" width="14.44140625" style="5" bestFit="1" customWidth="1"/>
    <col min="6153" max="6400" width="11.44140625" style="5"/>
    <col min="6401" max="6401" width="23.44140625" style="5" customWidth="1"/>
    <col min="6402" max="6402" width="15.33203125" style="5" customWidth="1"/>
    <col min="6403" max="6403" width="23.109375" style="5" customWidth="1"/>
    <col min="6404" max="6404" width="22.88671875" style="5" customWidth="1"/>
    <col min="6405" max="6405" width="32.6640625" style="5" customWidth="1"/>
    <col min="6406" max="6406" width="11.44140625" style="5"/>
    <col min="6407" max="6407" width="13.33203125" style="5" bestFit="1" customWidth="1"/>
    <col min="6408" max="6408" width="14.44140625" style="5" bestFit="1" customWidth="1"/>
    <col min="6409" max="6656" width="11.44140625" style="5"/>
    <col min="6657" max="6657" width="23.44140625" style="5" customWidth="1"/>
    <col min="6658" max="6658" width="15.33203125" style="5" customWidth="1"/>
    <col min="6659" max="6659" width="23.109375" style="5" customWidth="1"/>
    <col min="6660" max="6660" width="22.88671875" style="5" customWidth="1"/>
    <col min="6661" max="6661" width="32.6640625" style="5" customWidth="1"/>
    <col min="6662" max="6662" width="11.44140625" style="5"/>
    <col min="6663" max="6663" width="13.33203125" style="5" bestFit="1" customWidth="1"/>
    <col min="6664" max="6664" width="14.44140625" style="5" bestFit="1" customWidth="1"/>
    <col min="6665" max="6912" width="11.44140625" style="5"/>
    <col min="6913" max="6913" width="23.44140625" style="5" customWidth="1"/>
    <col min="6914" max="6914" width="15.33203125" style="5" customWidth="1"/>
    <col min="6915" max="6915" width="23.109375" style="5" customWidth="1"/>
    <col min="6916" max="6916" width="22.88671875" style="5" customWidth="1"/>
    <col min="6917" max="6917" width="32.6640625" style="5" customWidth="1"/>
    <col min="6918" max="6918" width="11.44140625" style="5"/>
    <col min="6919" max="6919" width="13.33203125" style="5" bestFit="1" customWidth="1"/>
    <col min="6920" max="6920" width="14.44140625" style="5" bestFit="1" customWidth="1"/>
    <col min="6921" max="7168" width="11.44140625" style="5"/>
    <col min="7169" max="7169" width="23.44140625" style="5" customWidth="1"/>
    <col min="7170" max="7170" width="15.33203125" style="5" customWidth="1"/>
    <col min="7171" max="7171" width="23.109375" style="5" customWidth="1"/>
    <col min="7172" max="7172" width="22.88671875" style="5" customWidth="1"/>
    <col min="7173" max="7173" width="32.6640625" style="5" customWidth="1"/>
    <col min="7174" max="7174" width="11.44140625" style="5"/>
    <col min="7175" max="7175" width="13.33203125" style="5" bestFit="1" customWidth="1"/>
    <col min="7176" max="7176" width="14.44140625" style="5" bestFit="1" customWidth="1"/>
    <col min="7177" max="7424" width="11.44140625" style="5"/>
    <col min="7425" max="7425" width="23.44140625" style="5" customWidth="1"/>
    <col min="7426" max="7426" width="15.33203125" style="5" customWidth="1"/>
    <col min="7427" max="7427" width="23.109375" style="5" customWidth="1"/>
    <col min="7428" max="7428" width="22.88671875" style="5" customWidth="1"/>
    <col min="7429" max="7429" width="32.6640625" style="5" customWidth="1"/>
    <col min="7430" max="7430" width="11.44140625" style="5"/>
    <col min="7431" max="7431" width="13.33203125" style="5" bestFit="1" customWidth="1"/>
    <col min="7432" max="7432" width="14.44140625" style="5" bestFit="1" customWidth="1"/>
    <col min="7433" max="7680" width="11.44140625" style="5"/>
    <col min="7681" max="7681" width="23.44140625" style="5" customWidth="1"/>
    <col min="7682" max="7682" width="15.33203125" style="5" customWidth="1"/>
    <col min="7683" max="7683" width="23.109375" style="5" customWidth="1"/>
    <col min="7684" max="7684" width="22.88671875" style="5" customWidth="1"/>
    <col min="7685" max="7685" width="32.6640625" style="5" customWidth="1"/>
    <col min="7686" max="7686" width="11.44140625" style="5"/>
    <col min="7687" max="7687" width="13.33203125" style="5" bestFit="1" customWidth="1"/>
    <col min="7688" max="7688" width="14.44140625" style="5" bestFit="1" customWidth="1"/>
    <col min="7689" max="7936" width="11.44140625" style="5"/>
    <col min="7937" max="7937" width="23.44140625" style="5" customWidth="1"/>
    <col min="7938" max="7938" width="15.33203125" style="5" customWidth="1"/>
    <col min="7939" max="7939" width="23.109375" style="5" customWidth="1"/>
    <col min="7940" max="7940" width="22.88671875" style="5" customWidth="1"/>
    <col min="7941" max="7941" width="32.6640625" style="5" customWidth="1"/>
    <col min="7942" max="7942" width="11.44140625" style="5"/>
    <col min="7943" max="7943" width="13.33203125" style="5" bestFit="1" customWidth="1"/>
    <col min="7944" max="7944" width="14.44140625" style="5" bestFit="1" customWidth="1"/>
    <col min="7945" max="8192" width="11.44140625" style="5"/>
    <col min="8193" max="8193" width="23.44140625" style="5" customWidth="1"/>
    <col min="8194" max="8194" width="15.33203125" style="5" customWidth="1"/>
    <col min="8195" max="8195" width="23.109375" style="5" customWidth="1"/>
    <col min="8196" max="8196" width="22.88671875" style="5" customWidth="1"/>
    <col min="8197" max="8197" width="32.6640625" style="5" customWidth="1"/>
    <col min="8198" max="8198" width="11.44140625" style="5"/>
    <col min="8199" max="8199" width="13.33203125" style="5" bestFit="1" customWidth="1"/>
    <col min="8200" max="8200" width="14.44140625" style="5" bestFit="1" customWidth="1"/>
    <col min="8201" max="8448" width="11.44140625" style="5"/>
    <col min="8449" max="8449" width="23.44140625" style="5" customWidth="1"/>
    <col min="8450" max="8450" width="15.33203125" style="5" customWidth="1"/>
    <col min="8451" max="8451" width="23.109375" style="5" customWidth="1"/>
    <col min="8452" max="8452" width="22.88671875" style="5" customWidth="1"/>
    <col min="8453" max="8453" width="32.6640625" style="5" customWidth="1"/>
    <col min="8454" max="8454" width="11.44140625" style="5"/>
    <col min="8455" max="8455" width="13.33203125" style="5" bestFit="1" customWidth="1"/>
    <col min="8456" max="8456" width="14.44140625" style="5" bestFit="1" customWidth="1"/>
    <col min="8457" max="8704" width="11.44140625" style="5"/>
    <col min="8705" max="8705" width="23.44140625" style="5" customWidth="1"/>
    <col min="8706" max="8706" width="15.33203125" style="5" customWidth="1"/>
    <col min="8707" max="8707" width="23.109375" style="5" customWidth="1"/>
    <col min="8708" max="8708" width="22.88671875" style="5" customWidth="1"/>
    <col min="8709" max="8709" width="32.6640625" style="5" customWidth="1"/>
    <col min="8710" max="8710" width="11.44140625" style="5"/>
    <col min="8711" max="8711" width="13.33203125" style="5" bestFit="1" customWidth="1"/>
    <col min="8712" max="8712" width="14.44140625" style="5" bestFit="1" customWidth="1"/>
    <col min="8713" max="8960" width="11.44140625" style="5"/>
    <col min="8961" max="8961" width="23.44140625" style="5" customWidth="1"/>
    <col min="8962" max="8962" width="15.33203125" style="5" customWidth="1"/>
    <col min="8963" max="8963" width="23.109375" style="5" customWidth="1"/>
    <col min="8964" max="8964" width="22.88671875" style="5" customWidth="1"/>
    <col min="8965" max="8965" width="32.6640625" style="5" customWidth="1"/>
    <col min="8966" max="8966" width="11.44140625" style="5"/>
    <col min="8967" max="8967" width="13.33203125" style="5" bestFit="1" customWidth="1"/>
    <col min="8968" max="8968" width="14.44140625" style="5" bestFit="1" customWidth="1"/>
    <col min="8969" max="9216" width="11.44140625" style="5"/>
    <col min="9217" max="9217" width="23.44140625" style="5" customWidth="1"/>
    <col min="9218" max="9218" width="15.33203125" style="5" customWidth="1"/>
    <col min="9219" max="9219" width="23.109375" style="5" customWidth="1"/>
    <col min="9220" max="9220" width="22.88671875" style="5" customWidth="1"/>
    <col min="9221" max="9221" width="32.6640625" style="5" customWidth="1"/>
    <col min="9222" max="9222" width="11.44140625" style="5"/>
    <col min="9223" max="9223" width="13.33203125" style="5" bestFit="1" customWidth="1"/>
    <col min="9224" max="9224" width="14.44140625" style="5" bestFit="1" customWidth="1"/>
    <col min="9225" max="9472" width="11.44140625" style="5"/>
    <col min="9473" max="9473" width="23.44140625" style="5" customWidth="1"/>
    <col min="9474" max="9474" width="15.33203125" style="5" customWidth="1"/>
    <col min="9475" max="9475" width="23.109375" style="5" customWidth="1"/>
    <col min="9476" max="9476" width="22.88671875" style="5" customWidth="1"/>
    <col min="9477" max="9477" width="32.6640625" style="5" customWidth="1"/>
    <col min="9478" max="9478" width="11.44140625" style="5"/>
    <col min="9479" max="9479" width="13.33203125" style="5" bestFit="1" customWidth="1"/>
    <col min="9480" max="9480" width="14.44140625" style="5" bestFit="1" customWidth="1"/>
    <col min="9481" max="9728" width="11.44140625" style="5"/>
    <col min="9729" max="9729" width="23.44140625" style="5" customWidth="1"/>
    <col min="9730" max="9730" width="15.33203125" style="5" customWidth="1"/>
    <col min="9731" max="9731" width="23.109375" style="5" customWidth="1"/>
    <col min="9732" max="9732" width="22.88671875" style="5" customWidth="1"/>
    <col min="9733" max="9733" width="32.6640625" style="5" customWidth="1"/>
    <col min="9734" max="9734" width="11.44140625" style="5"/>
    <col min="9735" max="9735" width="13.33203125" style="5" bestFit="1" customWidth="1"/>
    <col min="9736" max="9736" width="14.44140625" style="5" bestFit="1" customWidth="1"/>
    <col min="9737" max="9984" width="11.44140625" style="5"/>
    <col min="9985" max="9985" width="23.44140625" style="5" customWidth="1"/>
    <col min="9986" max="9986" width="15.33203125" style="5" customWidth="1"/>
    <col min="9987" max="9987" width="23.109375" style="5" customWidth="1"/>
    <col min="9988" max="9988" width="22.88671875" style="5" customWidth="1"/>
    <col min="9989" max="9989" width="32.6640625" style="5" customWidth="1"/>
    <col min="9990" max="9990" width="11.44140625" style="5"/>
    <col min="9991" max="9991" width="13.33203125" style="5" bestFit="1" customWidth="1"/>
    <col min="9992" max="9992" width="14.44140625" style="5" bestFit="1" customWidth="1"/>
    <col min="9993" max="10240" width="11.44140625" style="5"/>
    <col min="10241" max="10241" width="23.44140625" style="5" customWidth="1"/>
    <col min="10242" max="10242" width="15.33203125" style="5" customWidth="1"/>
    <col min="10243" max="10243" width="23.109375" style="5" customWidth="1"/>
    <col min="10244" max="10244" width="22.88671875" style="5" customWidth="1"/>
    <col min="10245" max="10245" width="32.6640625" style="5" customWidth="1"/>
    <col min="10246" max="10246" width="11.44140625" style="5"/>
    <col min="10247" max="10247" width="13.33203125" style="5" bestFit="1" customWidth="1"/>
    <col min="10248" max="10248" width="14.44140625" style="5" bestFit="1" customWidth="1"/>
    <col min="10249" max="10496" width="11.44140625" style="5"/>
    <col min="10497" max="10497" width="23.44140625" style="5" customWidth="1"/>
    <col min="10498" max="10498" width="15.33203125" style="5" customWidth="1"/>
    <col min="10499" max="10499" width="23.109375" style="5" customWidth="1"/>
    <col min="10500" max="10500" width="22.88671875" style="5" customWidth="1"/>
    <col min="10501" max="10501" width="32.6640625" style="5" customWidth="1"/>
    <col min="10502" max="10502" width="11.44140625" style="5"/>
    <col min="10503" max="10503" width="13.33203125" style="5" bestFit="1" customWidth="1"/>
    <col min="10504" max="10504" width="14.44140625" style="5" bestFit="1" customWidth="1"/>
    <col min="10505" max="10752" width="11.44140625" style="5"/>
    <col min="10753" max="10753" width="23.44140625" style="5" customWidth="1"/>
    <col min="10754" max="10754" width="15.33203125" style="5" customWidth="1"/>
    <col min="10755" max="10755" width="23.109375" style="5" customWidth="1"/>
    <col min="10756" max="10756" width="22.88671875" style="5" customWidth="1"/>
    <col min="10757" max="10757" width="32.6640625" style="5" customWidth="1"/>
    <col min="10758" max="10758" width="11.44140625" style="5"/>
    <col min="10759" max="10759" width="13.33203125" style="5" bestFit="1" customWidth="1"/>
    <col min="10760" max="10760" width="14.44140625" style="5" bestFit="1" customWidth="1"/>
    <col min="10761" max="11008" width="11.44140625" style="5"/>
    <col min="11009" max="11009" width="23.44140625" style="5" customWidth="1"/>
    <col min="11010" max="11010" width="15.33203125" style="5" customWidth="1"/>
    <col min="11011" max="11011" width="23.109375" style="5" customWidth="1"/>
    <col min="11012" max="11012" width="22.88671875" style="5" customWidth="1"/>
    <col min="11013" max="11013" width="32.6640625" style="5" customWidth="1"/>
    <col min="11014" max="11014" width="11.44140625" style="5"/>
    <col min="11015" max="11015" width="13.33203125" style="5" bestFit="1" customWidth="1"/>
    <col min="11016" max="11016" width="14.44140625" style="5" bestFit="1" customWidth="1"/>
    <col min="11017" max="11264" width="11.44140625" style="5"/>
    <col min="11265" max="11265" width="23.44140625" style="5" customWidth="1"/>
    <col min="11266" max="11266" width="15.33203125" style="5" customWidth="1"/>
    <col min="11267" max="11267" width="23.109375" style="5" customWidth="1"/>
    <col min="11268" max="11268" width="22.88671875" style="5" customWidth="1"/>
    <col min="11269" max="11269" width="32.6640625" style="5" customWidth="1"/>
    <col min="11270" max="11270" width="11.44140625" style="5"/>
    <col min="11271" max="11271" width="13.33203125" style="5" bestFit="1" customWidth="1"/>
    <col min="11272" max="11272" width="14.44140625" style="5" bestFit="1" customWidth="1"/>
    <col min="11273" max="11520" width="11.44140625" style="5"/>
    <col min="11521" max="11521" width="23.44140625" style="5" customWidth="1"/>
    <col min="11522" max="11522" width="15.33203125" style="5" customWidth="1"/>
    <col min="11523" max="11523" width="23.109375" style="5" customWidth="1"/>
    <col min="11524" max="11524" width="22.88671875" style="5" customWidth="1"/>
    <col min="11525" max="11525" width="32.6640625" style="5" customWidth="1"/>
    <col min="11526" max="11526" width="11.44140625" style="5"/>
    <col min="11527" max="11527" width="13.33203125" style="5" bestFit="1" customWidth="1"/>
    <col min="11528" max="11528" width="14.44140625" style="5" bestFit="1" customWidth="1"/>
    <col min="11529" max="11776" width="11.44140625" style="5"/>
    <col min="11777" max="11777" width="23.44140625" style="5" customWidth="1"/>
    <col min="11778" max="11778" width="15.33203125" style="5" customWidth="1"/>
    <col min="11779" max="11779" width="23.109375" style="5" customWidth="1"/>
    <col min="11780" max="11780" width="22.88671875" style="5" customWidth="1"/>
    <col min="11781" max="11781" width="32.6640625" style="5" customWidth="1"/>
    <col min="11782" max="11782" width="11.44140625" style="5"/>
    <col min="11783" max="11783" width="13.33203125" style="5" bestFit="1" customWidth="1"/>
    <col min="11784" max="11784" width="14.44140625" style="5" bestFit="1" customWidth="1"/>
    <col min="11785" max="12032" width="11.44140625" style="5"/>
    <col min="12033" max="12033" width="23.44140625" style="5" customWidth="1"/>
    <col min="12034" max="12034" width="15.33203125" style="5" customWidth="1"/>
    <col min="12035" max="12035" width="23.109375" style="5" customWidth="1"/>
    <col min="12036" max="12036" width="22.88671875" style="5" customWidth="1"/>
    <col min="12037" max="12037" width="32.6640625" style="5" customWidth="1"/>
    <col min="12038" max="12038" width="11.44140625" style="5"/>
    <col min="12039" max="12039" width="13.33203125" style="5" bestFit="1" customWidth="1"/>
    <col min="12040" max="12040" width="14.44140625" style="5" bestFit="1" customWidth="1"/>
    <col min="12041" max="12288" width="11.44140625" style="5"/>
    <col min="12289" max="12289" width="23.44140625" style="5" customWidth="1"/>
    <col min="12290" max="12290" width="15.33203125" style="5" customWidth="1"/>
    <col min="12291" max="12291" width="23.109375" style="5" customWidth="1"/>
    <col min="12292" max="12292" width="22.88671875" style="5" customWidth="1"/>
    <col min="12293" max="12293" width="32.6640625" style="5" customWidth="1"/>
    <col min="12294" max="12294" width="11.44140625" style="5"/>
    <col min="12295" max="12295" width="13.33203125" style="5" bestFit="1" customWidth="1"/>
    <col min="12296" max="12296" width="14.44140625" style="5" bestFit="1" customWidth="1"/>
    <col min="12297" max="12544" width="11.44140625" style="5"/>
    <col min="12545" max="12545" width="23.44140625" style="5" customWidth="1"/>
    <col min="12546" max="12546" width="15.33203125" style="5" customWidth="1"/>
    <col min="12547" max="12547" width="23.109375" style="5" customWidth="1"/>
    <col min="12548" max="12548" width="22.88671875" style="5" customWidth="1"/>
    <col min="12549" max="12549" width="32.6640625" style="5" customWidth="1"/>
    <col min="12550" max="12550" width="11.44140625" style="5"/>
    <col min="12551" max="12551" width="13.33203125" style="5" bestFit="1" customWidth="1"/>
    <col min="12552" max="12552" width="14.44140625" style="5" bestFit="1" customWidth="1"/>
    <col min="12553" max="12800" width="11.44140625" style="5"/>
    <col min="12801" max="12801" width="23.44140625" style="5" customWidth="1"/>
    <col min="12802" max="12802" width="15.33203125" style="5" customWidth="1"/>
    <col min="12803" max="12803" width="23.109375" style="5" customWidth="1"/>
    <col min="12804" max="12804" width="22.88671875" style="5" customWidth="1"/>
    <col min="12805" max="12805" width="32.6640625" style="5" customWidth="1"/>
    <col min="12806" max="12806" width="11.44140625" style="5"/>
    <col min="12807" max="12807" width="13.33203125" style="5" bestFit="1" customWidth="1"/>
    <col min="12808" max="12808" width="14.44140625" style="5" bestFit="1" customWidth="1"/>
    <col min="12809" max="13056" width="11.44140625" style="5"/>
    <col min="13057" max="13057" width="23.44140625" style="5" customWidth="1"/>
    <col min="13058" max="13058" width="15.33203125" style="5" customWidth="1"/>
    <col min="13059" max="13059" width="23.109375" style="5" customWidth="1"/>
    <col min="13060" max="13060" width="22.88671875" style="5" customWidth="1"/>
    <col min="13061" max="13061" width="32.6640625" style="5" customWidth="1"/>
    <col min="13062" max="13062" width="11.44140625" style="5"/>
    <col min="13063" max="13063" width="13.33203125" style="5" bestFit="1" customWidth="1"/>
    <col min="13064" max="13064" width="14.44140625" style="5" bestFit="1" customWidth="1"/>
    <col min="13065" max="13312" width="11.44140625" style="5"/>
    <col min="13313" max="13313" width="23.44140625" style="5" customWidth="1"/>
    <col min="13314" max="13314" width="15.33203125" style="5" customWidth="1"/>
    <col min="13315" max="13315" width="23.109375" style="5" customWidth="1"/>
    <col min="13316" max="13316" width="22.88671875" style="5" customWidth="1"/>
    <col min="13317" max="13317" width="32.6640625" style="5" customWidth="1"/>
    <col min="13318" max="13318" width="11.44140625" style="5"/>
    <col min="13319" max="13319" width="13.33203125" style="5" bestFit="1" customWidth="1"/>
    <col min="13320" max="13320" width="14.44140625" style="5" bestFit="1" customWidth="1"/>
    <col min="13321" max="13568" width="11.44140625" style="5"/>
    <col min="13569" max="13569" width="23.44140625" style="5" customWidth="1"/>
    <col min="13570" max="13570" width="15.33203125" style="5" customWidth="1"/>
    <col min="13571" max="13571" width="23.109375" style="5" customWidth="1"/>
    <col min="13572" max="13572" width="22.88671875" style="5" customWidth="1"/>
    <col min="13573" max="13573" width="32.6640625" style="5" customWidth="1"/>
    <col min="13574" max="13574" width="11.44140625" style="5"/>
    <col min="13575" max="13575" width="13.33203125" style="5" bestFit="1" customWidth="1"/>
    <col min="13576" max="13576" width="14.44140625" style="5" bestFit="1" customWidth="1"/>
    <col min="13577" max="13824" width="11.44140625" style="5"/>
    <col min="13825" max="13825" width="23.44140625" style="5" customWidth="1"/>
    <col min="13826" max="13826" width="15.33203125" style="5" customWidth="1"/>
    <col min="13827" max="13827" width="23.109375" style="5" customWidth="1"/>
    <col min="13828" max="13828" width="22.88671875" style="5" customWidth="1"/>
    <col min="13829" max="13829" width="32.6640625" style="5" customWidth="1"/>
    <col min="13830" max="13830" width="11.44140625" style="5"/>
    <col min="13831" max="13831" width="13.33203125" style="5" bestFit="1" customWidth="1"/>
    <col min="13832" max="13832" width="14.44140625" style="5" bestFit="1" customWidth="1"/>
    <col min="13833" max="14080" width="11.44140625" style="5"/>
    <col min="14081" max="14081" width="23.44140625" style="5" customWidth="1"/>
    <col min="14082" max="14082" width="15.33203125" style="5" customWidth="1"/>
    <col min="14083" max="14083" width="23.109375" style="5" customWidth="1"/>
    <col min="14084" max="14084" width="22.88671875" style="5" customWidth="1"/>
    <col min="14085" max="14085" width="32.6640625" style="5" customWidth="1"/>
    <col min="14086" max="14086" width="11.44140625" style="5"/>
    <col min="14087" max="14087" width="13.33203125" style="5" bestFit="1" customWidth="1"/>
    <col min="14088" max="14088" width="14.44140625" style="5" bestFit="1" customWidth="1"/>
    <col min="14089" max="14336" width="11.44140625" style="5"/>
    <col min="14337" max="14337" width="23.44140625" style="5" customWidth="1"/>
    <col min="14338" max="14338" width="15.33203125" style="5" customWidth="1"/>
    <col min="14339" max="14339" width="23.109375" style="5" customWidth="1"/>
    <col min="14340" max="14340" width="22.88671875" style="5" customWidth="1"/>
    <col min="14341" max="14341" width="32.6640625" style="5" customWidth="1"/>
    <col min="14342" max="14342" width="11.44140625" style="5"/>
    <col min="14343" max="14343" width="13.33203125" style="5" bestFit="1" customWidth="1"/>
    <col min="14344" max="14344" width="14.44140625" style="5" bestFit="1" customWidth="1"/>
    <col min="14345" max="14592" width="11.44140625" style="5"/>
    <col min="14593" max="14593" width="23.44140625" style="5" customWidth="1"/>
    <col min="14594" max="14594" width="15.33203125" style="5" customWidth="1"/>
    <col min="14595" max="14595" width="23.109375" style="5" customWidth="1"/>
    <col min="14596" max="14596" width="22.88671875" style="5" customWidth="1"/>
    <col min="14597" max="14597" width="32.6640625" style="5" customWidth="1"/>
    <col min="14598" max="14598" width="11.44140625" style="5"/>
    <col min="14599" max="14599" width="13.33203125" style="5" bestFit="1" customWidth="1"/>
    <col min="14600" max="14600" width="14.44140625" style="5" bestFit="1" customWidth="1"/>
    <col min="14601" max="14848" width="11.44140625" style="5"/>
    <col min="14849" max="14849" width="23.44140625" style="5" customWidth="1"/>
    <col min="14850" max="14850" width="15.33203125" style="5" customWidth="1"/>
    <col min="14851" max="14851" width="23.109375" style="5" customWidth="1"/>
    <col min="14852" max="14852" width="22.88671875" style="5" customWidth="1"/>
    <col min="14853" max="14853" width="32.6640625" style="5" customWidth="1"/>
    <col min="14854" max="14854" width="11.44140625" style="5"/>
    <col min="14855" max="14855" width="13.33203125" style="5" bestFit="1" customWidth="1"/>
    <col min="14856" max="14856" width="14.44140625" style="5" bestFit="1" customWidth="1"/>
    <col min="14857" max="15104" width="11.44140625" style="5"/>
    <col min="15105" max="15105" width="23.44140625" style="5" customWidth="1"/>
    <col min="15106" max="15106" width="15.33203125" style="5" customWidth="1"/>
    <col min="15107" max="15107" width="23.109375" style="5" customWidth="1"/>
    <col min="15108" max="15108" width="22.88671875" style="5" customWidth="1"/>
    <col min="15109" max="15109" width="32.6640625" style="5" customWidth="1"/>
    <col min="15110" max="15110" width="11.44140625" style="5"/>
    <col min="15111" max="15111" width="13.33203125" style="5" bestFit="1" customWidth="1"/>
    <col min="15112" max="15112" width="14.44140625" style="5" bestFit="1" customWidth="1"/>
    <col min="15113" max="15360" width="11.44140625" style="5"/>
    <col min="15361" max="15361" width="23.44140625" style="5" customWidth="1"/>
    <col min="15362" max="15362" width="15.33203125" style="5" customWidth="1"/>
    <col min="15363" max="15363" width="23.109375" style="5" customWidth="1"/>
    <col min="15364" max="15364" width="22.88671875" style="5" customWidth="1"/>
    <col min="15365" max="15365" width="32.6640625" style="5" customWidth="1"/>
    <col min="15366" max="15366" width="11.44140625" style="5"/>
    <col min="15367" max="15367" width="13.33203125" style="5" bestFit="1" customWidth="1"/>
    <col min="15368" max="15368" width="14.44140625" style="5" bestFit="1" customWidth="1"/>
    <col min="15369" max="15616" width="11.44140625" style="5"/>
    <col min="15617" max="15617" width="23.44140625" style="5" customWidth="1"/>
    <col min="15618" max="15618" width="15.33203125" style="5" customWidth="1"/>
    <col min="15619" max="15619" width="23.109375" style="5" customWidth="1"/>
    <col min="15620" max="15620" width="22.88671875" style="5" customWidth="1"/>
    <col min="15621" max="15621" width="32.6640625" style="5" customWidth="1"/>
    <col min="15622" max="15622" width="11.44140625" style="5"/>
    <col min="15623" max="15623" width="13.33203125" style="5" bestFit="1" customWidth="1"/>
    <col min="15624" max="15624" width="14.44140625" style="5" bestFit="1" customWidth="1"/>
    <col min="15625" max="15872" width="11.44140625" style="5"/>
    <col min="15873" max="15873" width="23.44140625" style="5" customWidth="1"/>
    <col min="15874" max="15874" width="15.33203125" style="5" customWidth="1"/>
    <col min="15875" max="15875" width="23.109375" style="5" customWidth="1"/>
    <col min="15876" max="15876" width="22.88671875" style="5" customWidth="1"/>
    <col min="15877" max="15877" width="32.6640625" style="5" customWidth="1"/>
    <col min="15878" max="15878" width="11.44140625" style="5"/>
    <col min="15879" max="15879" width="13.33203125" style="5" bestFit="1" customWidth="1"/>
    <col min="15880" max="15880" width="14.44140625" style="5" bestFit="1" customWidth="1"/>
    <col min="15881" max="16128" width="11.44140625" style="5"/>
    <col min="16129" max="16129" width="23.44140625" style="5" customWidth="1"/>
    <col min="16130" max="16130" width="15.33203125" style="5" customWidth="1"/>
    <col min="16131" max="16131" width="23.109375" style="5" customWidth="1"/>
    <col min="16132" max="16132" width="22.88671875" style="5" customWidth="1"/>
    <col min="16133" max="16133" width="32.6640625" style="5" customWidth="1"/>
    <col min="16134" max="16134" width="11.44140625" style="5"/>
    <col min="16135" max="16135" width="13.33203125" style="5" bestFit="1" customWidth="1"/>
    <col min="16136" max="16136" width="14.44140625" style="5" bestFit="1" customWidth="1"/>
    <col min="16137" max="16384" width="11.44140625" style="5"/>
  </cols>
  <sheetData>
    <row r="1" spans="1:7" customFormat="1" ht="15.75" customHeight="1">
      <c r="A1" s="635" t="s">
        <v>306</v>
      </c>
      <c r="B1" s="635"/>
      <c r="C1" s="635"/>
      <c r="D1" s="635"/>
      <c r="E1" s="635"/>
    </row>
    <row r="3" spans="1:7">
      <c r="A3" s="636" t="s">
        <v>859</v>
      </c>
      <c r="B3" s="636"/>
      <c r="C3" s="636"/>
      <c r="D3" s="636"/>
      <c r="E3" s="636"/>
    </row>
    <row r="5" spans="1:7" ht="27" customHeight="1">
      <c r="A5" s="42" t="s">
        <v>307</v>
      </c>
      <c r="B5" s="42" t="s">
        <v>308</v>
      </c>
      <c r="C5" s="42" t="s">
        <v>309</v>
      </c>
      <c r="D5" s="42" t="s">
        <v>310</v>
      </c>
      <c r="E5" s="42" t="s">
        <v>120</v>
      </c>
    </row>
    <row r="6" spans="1:7" s="47" customFormat="1" ht="27" customHeight="1">
      <c r="A6" s="43" t="s">
        <v>311</v>
      </c>
      <c r="B6" s="44"/>
      <c r="C6" s="44"/>
      <c r="D6" s="44"/>
      <c r="E6" s="45"/>
      <c r="F6" s="46"/>
    </row>
    <row r="7" spans="1:7" ht="110.25" customHeight="1">
      <c r="A7" s="48" t="s">
        <v>860</v>
      </c>
      <c r="B7" s="49">
        <v>1</v>
      </c>
      <c r="C7" s="50">
        <v>400000</v>
      </c>
      <c r="D7" s="50">
        <f>+B7*C7</f>
        <v>400000</v>
      </c>
      <c r="E7" s="48"/>
      <c r="G7" s="51"/>
    </row>
    <row r="8" spans="1:7" s="47" customFormat="1" ht="27" customHeight="1">
      <c r="A8" s="52" t="s">
        <v>148</v>
      </c>
      <c r="B8" s="44"/>
      <c r="C8" s="44"/>
      <c r="D8" s="44"/>
      <c r="E8" s="45"/>
      <c r="F8" s="46"/>
    </row>
    <row r="9" spans="1:7" ht="36.75" customHeight="1">
      <c r="A9" s="48" t="s">
        <v>312</v>
      </c>
      <c r="B9" s="49">
        <v>1</v>
      </c>
      <c r="C9" s="50"/>
      <c r="D9" s="50">
        <f t="shared" ref="D9:D21" si="0">+B9*C9</f>
        <v>0</v>
      </c>
      <c r="E9" s="48"/>
    </row>
    <row r="10" spans="1:7" ht="26.25" customHeight="1">
      <c r="A10" s="48" t="s">
        <v>313</v>
      </c>
      <c r="B10" s="49">
        <v>1</v>
      </c>
      <c r="C10" s="50">
        <v>27000</v>
      </c>
      <c r="D10" s="50">
        <f t="shared" si="0"/>
        <v>27000</v>
      </c>
      <c r="E10" s="48"/>
    </row>
    <row r="11" spans="1:7" ht="21.75" customHeight="1">
      <c r="A11" s="48" t="s">
        <v>314</v>
      </c>
      <c r="B11" s="49">
        <v>240</v>
      </c>
      <c r="C11" s="50">
        <v>7618</v>
      </c>
      <c r="D11" s="50">
        <f t="shared" si="0"/>
        <v>1828320</v>
      </c>
      <c r="E11" s="48"/>
    </row>
    <row r="12" spans="1:7" ht="39.75" customHeight="1">
      <c r="A12" s="48" t="s">
        <v>315</v>
      </c>
      <c r="B12" s="49">
        <v>1</v>
      </c>
      <c r="C12" s="50">
        <v>3788</v>
      </c>
      <c r="D12" s="50">
        <f t="shared" si="0"/>
        <v>3788</v>
      </c>
      <c r="E12" s="48"/>
    </row>
    <row r="13" spans="1:7" ht="27" customHeight="1">
      <c r="A13" s="52" t="s">
        <v>316</v>
      </c>
      <c r="B13" s="44"/>
      <c r="C13" s="44"/>
      <c r="D13" s="44"/>
      <c r="E13" s="45"/>
    </row>
    <row r="14" spans="1:7" ht="36" customHeight="1">
      <c r="A14" s="48" t="s">
        <v>318</v>
      </c>
      <c r="B14" s="49">
        <v>20</v>
      </c>
      <c r="C14" s="50">
        <v>3500</v>
      </c>
      <c r="D14" s="50">
        <f t="shared" si="0"/>
        <v>70000</v>
      </c>
      <c r="E14" s="48"/>
    </row>
    <row r="15" spans="1:7" ht="36" customHeight="1">
      <c r="A15" s="48" t="s">
        <v>810</v>
      </c>
      <c r="B15" s="49">
        <v>20</v>
      </c>
      <c r="C15" s="254">
        <v>3500</v>
      </c>
      <c r="D15" s="50">
        <f t="shared" ref="D15" si="1">+B15*C15</f>
        <v>70000</v>
      </c>
      <c r="E15" s="48"/>
    </row>
    <row r="16" spans="1:7" ht="36.75" customHeight="1">
      <c r="A16" s="48" t="s">
        <v>319</v>
      </c>
      <c r="B16" s="49">
        <v>70</v>
      </c>
      <c r="C16" s="50">
        <v>6000</v>
      </c>
      <c r="D16" s="50">
        <f t="shared" si="0"/>
        <v>420000</v>
      </c>
      <c r="E16" s="48"/>
    </row>
    <row r="17" spans="1:8" ht="26.25" customHeight="1">
      <c r="A17" s="48" t="s">
        <v>320</v>
      </c>
      <c r="B17" s="49">
        <v>82</v>
      </c>
      <c r="C17" s="50">
        <v>4400</v>
      </c>
      <c r="D17" s="50">
        <f t="shared" si="0"/>
        <v>360800</v>
      </c>
      <c r="E17" s="48"/>
    </row>
    <row r="18" spans="1:8" ht="26.25" customHeight="1">
      <c r="A18" s="48" t="s">
        <v>321</v>
      </c>
      <c r="B18" s="49">
        <v>82</v>
      </c>
      <c r="C18" s="50">
        <v>4800</v>
      </c>
      <c r="D18" s="50">
        <f t="shared" si="0"/>
        <v>393600</v>
      </c>
      <c r="E18" s="48"/>
      <c r="H18" s="51"/>
    </row>
    <row r="19" spans="1:8" ht="26.25" customHeight="1">
      <c r="A19" s="48" t="s">
        <v>322</v>
      </c>
      <c r="B19" s="49">
        <v>31</v>
      </c>
      <c r="C19" s="50">
        <v>15000</v>
      </c>
      <c r="D19" s="50">
        <f t="shared" si="0"/>
        <v>465000</v>
      </c>
      <c r="E19" s="48"/>
    </row>
    <row r="20" spans="1:8" ht="26.25" customHeight="1">
      <c r="A20" s="48" t="s">
        <v>323</v>
      </c>
      <c r="B20" s="49">
        <v>31</v>
      </c>
      <c r="C20" s="50">
        <v>25000</v>
      </c>
      <c r="D20" s="50">
        <f t="shared" si="0"/>
        <v>775000</v>
      </c>
      <c r="E20" s="48"/>
    </row>
    <row r="21" spans="1:8" ht="26.25" customHeight="1">
      <c r="A21" s="48" t="s">
        <v>809</v>
      </c>
      <c r="B21" s="49">
        <v>31</v>
      </c>
      <c r="C21" s="50">
        <v>10000</v>
      </c>
      <c r="D21" s="50">
        <f t="shared" si="0"/>
        <v>310000</v>
      </c>
      <c r="E21" s="48"/>
    </row>
    <row r="22" spans="1:8" ht="27" customHeight="1">
      <c r="A22" s="53"/>
      <c r="B22" s="44"/>
      <c r="C22" s="54" t="s">
        <v>325</v>
      </c>
      <c r="D22" s="55">
        <f>SUM(D7:D21)</f>
        <v>5123508</v>
      </c>
      <c r="E22" s="45"/>
    </row>
    <row r="23" spans="1:8">
      <c r="A23" s="56"/>
    </row>
  </sheetData>
  <mergeCells count="2">
    <mergeCell ref="A1:E1"/>
    <mergeCell ref="A3:E3"/>
  </mergeCells>
  <printOptions horizontalCentered="1"/>
  <pageMargins left="0.31496062992125984" right="0.31496062992125984" top="0.19685039370078741" bottom="0.39370078740157483" header="0.15748031496062992" footer="0.31496062992125984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BreakPreview" topLeftCell="B1" zoomScale="160" zoomScaleNormal="142" zoomScaleSheetLayoutView="160" zoomScalePageLayoutView="142" workbookViewId="0">
      <selection activeCell="C10" sqref="C10"/>
    </sheetView>
  </sheetViews>
  <sheetFormatPr baseColWidth="10" defaultColWidth="11.44140625" defaultRowHeight="14.4"/>
  <cols>
    <col min="2" max="2" width="30.33203125" customWidth="1"/>
    <col min="3" max="3" width="22.44140625" customWidth="1"/>
    <col min="4" max="4" width="9.33203125" customWidth="1"/>
    <col min="5" max="5" width="10.6640625" customWidth="1"/>
    <col min="6" max="6" width="17.88671875" customWidth="1"/>
    <col min="7" max="7" width="20" customWidth="1"/>
    <col min="258" max="258" width="30.33203125" customWidth="1"/>
    <col min="259" max="259" width="22.44140625" customWidth="1"/>
    <col min="260" max="260" width="9.33203125" customWidth="1"/>
    <col min="261" max="261" width="10.6640625" customWidth="1"/>
    <col min="262" max="262" width="17.88671875" customWidth="1"/>
    <col min="263" max="263" width="20" customWidth="1"/>
    <col min="514" max="514" width="30.33203125" customWidth="1"/>
    <col min="515" max="515" width="22.44140625" customWidth="1"/>
    <col min="516" max="516" width="9.33203125" customWidth="1"/>
    <col min="517" max="517" width="10.6640625" customWidth="1"/>
    <col min="518" max="518" width="17.88671875" customWidth="1"/>
    <col min="519" max="519" width="20" customWidth="1"/>
    <col min="770" max="770" width="30.33203125" customWidth="1"/>
    <col min="771" max="771" width="22.44140625" customWidth="1"/>
    <col min="772" max="772" width="9.33203125" customWidth="1"/>
    <col min="773" max="773" width="10.6640625" customWidth="1"/>
    <col min="774" max="774" width="17.88671875" customWidth="1"/>
    <col min="775" max="775" width="20" customWidth="1"/>
    <col min="1026" max="1026" width="30.33203125" customWidth="1"/>
    <col min="1027" max="1027" width="22.44140625" customWidth="1"/>
    <col min="1028" max="1028" width="9.33203125" customWidth="1"/>
    <col min="1029" max="1029" width="10.6640625" customWidth="1"/>
    <col min="1030" max="1030" width="17.88671875" customWidth="1"/>
    <col min="1031" max="1031" width="20" customWidth="1"/>
    <col min="1282" max="1282" width="30.33203125" customWidth="1"/>
    <col min="1283" max="1283" width="22.44140625" customWidth="1"/>
    <col min="1284" max="1284" width="9.33203125" customWidth="1"/>
    <col min="1285" max="1285" width="10.6640625" customWidth="1"/>
    <col min="1286" max="1286" width="17.88671875" customWidth="1"/>
    <col min="1287" max="1287" width="20" customWidth="1"/>
    <col min="1538" max="1538" width="30.33203125" customWidth="1"/>
    <col min="1539" max="1539" width="22.44140625" customWidth="1"/>
    <col min="1540" max="1540" width="9.33203125" customWidth="1"/>
    <col min="1541" max="1541" width="10.6640625" customWidth="1"/>
    <col min="1542" max="1542" width="17.88671875" customWidth="1"/>
    <col min="1543" max="1543" width="20" customWidth="1"/>
    <col min="1794" max="1794" width="30.33203125" customWidth="1"/>
    <col min="1795" max="1795" width="22.44140625" customWidth="1"/>
    <col min="1796" max="1796" width="9.33203125" customWidth="1"/>
    <col min="1797" max="1797" width="10.6640625" customWidth="1"/>
    <col min="1798" max="1798" width="17.88671875" customWidth="1"/>
    <col min="1799" max="1799" width="20" customWidth="1"/>
    <col min="2050" max="2050" width="30.33203125" customWidth="1"/>
    <col min="2051" max="2051" width="22.44140625" customWidth="1"/>
    <col min="2052" max="2052" width="9.33203125" customWidth="1"/>
    <col min="2053" max="2053" width="10.6640625" customWidth="1"/>
    <col min="2054" max="2054" width="17.88671875" customWidth="1"/>
    <col min="2055" max="2055" width="20" customWidth="1"/>
    <col min="2306" max="2306" width="30.33203125" customWidth="1"/>
    <col min="2307" max="2307" width="22.44140625" customWidth="1"/>
    <col min="2308" max="2308" width="9.33203125" customWidth="1"/>
    <col min="2309" max="2309" width="10.6640625" customWidth="1"/>
    <col min="2310" max="2310" width="17.88671875" customWidth="1"/>
    <col min="2311" max="2311" width="20" customWidth="1"/>
    <col min="2562" max="2562" width="30.33203125" customWidth="1"/>
    <col min="2563" max="2563" width="22.44140625" customWidth="1"/>
    <col min="2564" max="2564" width="9.33203125" customWidth="1"/>
    <col min="2565" max="2565" width="10.6640625" customWidth="1"/>
    <col min="2566" max="2566" width="17.88671875" customWidth="1"/>
    <col min="2567" max="2567" width="20" customWidth="1"/>
    <col min="2818" max="2818" width="30.33203125" customWidth="1"/>
    <col min="2819" max="2819" width="22.44140625" customWidth="1"/>
    <col min="2820" max="2820" width="9.33203125" customWidth="1"/>
    <col min="2821" max="2821" width="10.6640625" customWidth="1"/>
    <col min="2822" max="2822" width="17.88671875" customWidth="1"/>
    <col min="2823" max="2823" width="20" customWidth="1"/>
    <col min="3074" max="3074" width="30.33203125" customWidth="1"/>
    <col min="3075" max="3075" width="22.44140625" customWidth="1"/>
    <col min="3076" max="3076" width="9.33203125" customWidth="1"/>
    <col min="3077" max="3077" width="10.6640625" customWidth="1"/>
    <col min="3078" max="3078" width="17.88671875" customWidth="1"/>
    <col min="3079" max="3079" width="20" customWidth="1"/>
    <col min="3330" max="3330" width="30.33203125" customWidth="1"/>
    <col min="3331" max="3331" width="22.44140625" customWidth="1"/>
    <col min="3332" max="3332" width="9.33203125" customWidth="1"/>
    <col min="3333" max="3333" width="10.6640625" customWidth="1"/>
    <col min="3334" max="3334" width="17.88671875" customWidth="1"/>
    <col min="3335" max="3335" width="20" customWidth="1"/>
    <col min="3586" max="3586" width="30.33203125" customWidth="1"/>
    <col min="3587" max="3587" width="22.44140625" customWidth="1"/>
    <col min="3588" max="3588" width="9.33203125" customWidth="1"/>
    <col min="3589" max="3589" width="10.6640625" customWidth="1"/>
    <col min="3590" max="3590" width="17.88671875" customWidth="1"/>
    <col min="3591" max="3591" width="20" customWidth="1"/>
    <col min="3842" max="3842" width="30.33203125" customWidth="1"/>
    <col min="3843" max="3843" width="22.44140625" customWidth="1"/>
    <col min="3844" max="3844" width="9.33203125" customWidth="1"/>
    <col min="3845" max="3845" width="10.6640625" customWidth="1"/>
    <col min="3846" max="3846" width="17.88671875" customWidth="1"/>
    <col min="3847" max="3847" width="20" customWidth="1"/>
    <col min="4098" max="4098" width="30.33203125" customWidth="1"/>
    <col min="4099" max="4099" width="22.44140625" customWidth="1"/>
    <col min="4100" max="4100" width="9.33203125" customWidth="1"/>
    <col min="4101" max="4101" width="10.6640625" customWidth="1"/>
    <col min="4102" max="4102" width="17.88671875" customWidth="1"/>
    <col min="4103" max="4103" width="20" customWidth="1"/>
    <col min="4354" max="4354" width="30.33203125" customWidth="1"/>
    <col min="4355" max="4355" width="22.44140625" customWidth="1"/>
    <col min="4356" max="4356" width="9.33203125" customWidth="1"/>
    <col min="4357" max="4357" width="10.6640625" customWidth="1"/>
    <col min="4358" max="4358" width="17.88671875" customWidth="1"/>
    <col min="4359" max="4359" width="20" customWidth="1"/>
    <col min="4610" max="4610" width="30.33203125" customWidth="1"/>
    <col min="4611" max="4611" width="22.44140625" customWidth="1"/>
    <col min="4612" max="4612" width="9.33203125" customWidth="1"/>
    <col min="4613" max="4613" width="10.6640625" customWidth="1"/>
    <col min="4614" max="4614" width="17.88671875" customWidth="1"/>
    <col min="4615" max="4615" width="20" customWidth="1"/>
    <col min="4866" max="4866" width="30.33203125" customWidth="1"/>
    <col min="4867" max="4867" width="22.44140625" customWidth="1"/>
    <col min="4868" max="4868" width="9.33203125" customWidth="1"/>
    <col min="4869" max="4869" width="10.6640625" customWidth="1"/>
    <col min="4870" max="4870" width="17.88671875" customWidth="1"/>
    <col min="4871" max="4871" width="20" customWidth="1"/>
    <col min="5122" max="5122" width="30.33203125" customWidth="1"/>
    <col min="5123" max="5123" width="22.44140625" customWidth="1"/>
    <col min="5124" max="5124" width="9.33203125" customWidth="1"/>
    <col min="5125" max="5125" width="10.6640625" customWidth="1"/>
    <col min="5126" max="5126" width="17.88671875" customWidth="1"/>
    <col min="5127" max="5127" width="20" customWidth="1"/>
    <col min="5378" max="5378" width="30.33203125" customWidth="1"/>
    <col min="5379" max="5379" width="22.44140625" customWidth="1"/>
    <col min="5380" max="5380" width="9.33203125" customWidth="1"/>
    <col min="5381" max="5381" width="10.6640625" customWidth="1"/>
    <col min="5382" max="5382" width="17.88671875" customWidth="1"/>
    <col min="5383" max="5383" width="20" customWidth="1"/>
    <col min="5634" max="5634" width="30.33203125" customWidth="1"/>
    <col min="5635" max="5635" width="22.44140625" customWidth="1"/>
    <col min="5636" max="5636" width="9.33203125" customWidth="1"/>
    <col min="5637" max="5637" width="10.6640625" customWidth="1"/>
    <col min="5638" max="5638" width="17.88671875" customWidth="1"/>
    <col min="5639" max="5639" width="20" customWidth="1"/>
    <col min="5890" max="5890" width="30.33203125" customWidth="1"/>
    <col min="5891" max="5891" width="22.44140625" customWidth="1"/>
    <col min="5892" max="5892" width="9.33203125" customWidth="1"/>
    <col min="5893" max="5893" width="10.6640625" customWidth="1"/>
    <col min="5894" max="5894" width="17.88671875" customWidth="1"/>
    <col min="5895" max="5895" width="20" customWidth="1"/>
    <col min="6146" max="6146" width="30.33203125" customWidth="1"/>
    <col min="6147" max="6147" width="22.44140625" customWidth="1"/>
    <col min="6148" max="6148" width="9.33203125" customWidth="1"/>
    <col min="6149" max="6149" width="10.6640625" customWidth="1"/>
    <col min="6150" max="6150" width="17.88671875" customWidth="1"/>
    <col min="6151" max="6151" width="20" customWidth="1"/>
    <col min="6402" max="6402" width="30.33203125" customWidth="1"/>
    <col min="6403" max="6403" width="22.44140625" customWidth="1"/>
    <col min="6404" max="6404" width="9.33203125" customWidth="1"/>
    <col min="6405" max="6405" width="10.6640625" customWidth="1"/>
    <col min="6406" max="6406" width="17.88671875" customWidth="1"/>
    <col min="6407" max="6407" width="20" customWidth="1"/>
    <col min="6658" max="6658" width="30.33203125" customWidth="1"/>
    <col min="6659" max="6659" width="22.44140625" customWidth="1"/>
    <col min="6660" max="6660" width="9.33203125" customWidth="1"/>
    <col min="6661" max="6661" width="10.6640625" customWidth="1"/>
    <col min="6662" max="6662" width="17.88671875" customWidth="1"/>
    <col min="6663" max="6663" width="20" customWidth="1"/>
    <col min="6914" max="6914" width="30.33203125" customWidth="1"/>
    <col min="6915" max="6915" width="22.44140625" customWidth="1"/>
    <col min="6916" max="6916" width="9.33203125" customWidth="1"/>
    <col min="6917" max="6917" width="10.6640625" customWidth="1"/>
    <col min="6918" max="6918" width="17.88671875" customWidth="1"/>
    <col min="6919" max="6919" width="20" customWidth="1"/>
    <col min="7170" max="7170" width="30.33203125" customWidth="1"/>
    <col min="7171" max="7171" width="22.44140625" customWidth="1"/>
    <col min="7172" max="7172" width="9.33203125" customWidth="1"/>
    <col min="7173" max="7173" width="10.6640625" customWidth="1"/>
    <col min="7174" max="7174" width="17.88671875" customWidth="1"/>
    <col min="7175" max="7175" width="20" customWidth="1"/>
    <col min="7426" max="7426" width="30.33203125" customWidth="1"/>
    <col min="7427" max="7427" width="22.44140625" customWidth="1"/>
    <col min="7428" max="7428" width="9.33203125" customWidth="1"/>
    <col min="7429" max="7429" width="10.6640625" customWidth="1"/>
    <col min="7430" max="7430" width="17.88671875" customWidth="1"/>
    <col min="7431" max="7431" width="20" customWidth="1"/>
    <col min="7682" max="7682" width="30.33203125" customWidth="1"/>
    <col min="7683" max="7683" width="22.44140625" customWidth="1"/>
    <col min="7684" max="7684" width="9.33203125" customWidth="1"/>
    <col min="7685" max="7685" width="10.6640625" customWidth="1"/>
    <col min="7686" max="7686" width="17.88671875" customWidth="1"/>
    <col min="7687" max="7687" width="20" customWidth="1"/>
    <col min="7938" max="7938" width="30.33203125" customWidth="1"/>
    <col min="7939" max="7939" width="22.44140625" customWidth="1"/>
    <col min="7940" max="7940" width="9.33203125" customWidth="1"/>
    <col min="7941" max="7941" width="10.6640625" customWidth="1"/>
    <col min="7942" max="7942" width="17.88671875" customWidth="1"/>
    <col min="7943" max="7943" width="20" customWidth="1"/>
    <col min="8194" max="8194" width="30.33203125" customWidth="1"/>
    <col min="8195" max="8195" width="22.44140625" customWidth="1"/>
    <col min="8196" max="8196" width="9.33203125" customWidth="1"/>
    <col min="8197" max="8197" width="10.6640625" customWidth="1"/>
    <col min="8198" max="8198" width="17.88671875" customWidth="1"/>
    <col min="8199" max="8199" width="20" customWidth="1"/>
    <col min="8450" max="8450" width="30.33203125" customWidth="1"/>
    <col min="8451" max="8451" width="22.44140625" customWidth="1"/>
    <col min="8452" max="8452" width="9.33203125" customWidth="1"/>
    <col min="8453" max="8453" width="10.6640625" customWidth="1"/>
    <col min="8454" max="8454" width="17.88671875" customWidth="1"/>
    <col min="8455" max="8455" width="20" customWidth="1"/>
    <col min="8706" max="8706" width="30.33203125" customWidth="1"/>
    <col min="8707" max="8707" width="22.44140625" customWidth="1"/>
    <col min="8708" max="8708" width="9.33203125" customWidth="1"/>
    <col min="8709" max="8709" width="10.6640625" customWidth="1"/>
    <col min="8710" max="8710" width="17.88671875" customWidth="1"/>
    <col min="8711" max="8711" width="20" customWidth="1"/>
    <col min="8962" max="8962" width="30.33203125" customWidth="1"/>
    <col min="8963" max="8963" width="22.44140625" customWidth="1"/>
    <col min="8964" max="8964" width="9.33203125" customWidth="1"/>
    <col min="8965" max="8965" width="10.6640625" customWidth="1"/>
    <col min="8966" max="8966" width="17.88671875" customWidth="1"/>
    <col min="8967" max="8967" width="20" customWidth="1"/>
    <col min="9218" max="9218" width="30.33203125" customWidth="1"/>
    <col min="9219" max="9219" width="22.44140625" customWidth="1"/>
    <col min="9220" max="9220" width="9.33203125" customWidth="1"/>
    <col min="9221" max="9221" width="10.6640625" customWidth="1"/>
    <col min="9222" max="9222" width="17.88671875" customWidth="1"/>
    <col min="9223" max="9223" width="20" customWidth="1"/>
    <col min="9474" max="9474" width="30.33203125" customWidth="1"/>
    <col min="9475" max="9475" width="22.44140625" customWidth="1"/>
    <col min="9476" max="9476" width="9.33203125" customWidth="1"/>
    <col min="9477" max="9477" width="10.6640625" customWidth="1"/>
    <col min="9478" max="9478" width="17.88671875" customWidth="1"/>
    <col min="9479" max="9479" width="20" customWidth="1"/>
    <col min="9730" max="9730" width="30.33203125" customWidth="1"/>
    <col min="9731" max="9731" width="22.44140625" customWidth="1"/>
    <col min="9732" max="9732" width="9.33203125" customWidth="1"/>
    <col min="9733" max="9733" width="10.6640625" customWidth="1"/>
    <col min="9734" max="9734" width="17.88671875" customWidth="1"/>
    <col min="9735" max="9735" width="20" customWidth="1"/>
    <col min="9986" max="9986" width="30.33203125" customWidth="1"/>
    <col min="9987" max="9987" width="22.44140625" customWidth="1"/>
    <col min="9988" max="9988" width="9.33203125" customWidth="1"/>
    <col min="9989" max="9989" width="10.6640625" customWidth="1"/>
    <col min="9990" max="9990" width="17.88671875" customWidth="1"/>
    <col min="9991" max="9991" width="20" customWidth="1"/>
    <col min="10242" max="10242" width="30.33203125" customWidth="1"/>
    <col min="10243" max="10243" width="22.44140625" customWidth="1"/>
    <col min="10244" max="10244" width="9.33203125" customWidth="1"/>
    <col min="10245" max="10245" width="10.6640625" customWidth="1"/>
    <col min="10246" max="10246" width="17.88671875" customWidth="1"/>
    <col min="10247" max="10247" width="20" customWidth="1"/>
    <col min="10498" max="10498" width="30.33203125" customWidth="1"/>
    <col min="10499" max="10499" width="22.44140625" customWidth="1"/>
    <col min="10500" max="10500" width="9.33203125" customWidth="1"/>
    <col min="10501" max="10501" width="10.6640625" customWidth="1"/>
    <col min="10502" max="10502" width="17.88671875" customWidth="1"/>
    <col min="10503" max="10503" width="20" customWidth="1"/>
    <col min="10754" max="10754" width="30.33203125" customWidth="1"/>
    <col min="10755" max="10755" width="22.44140625" customWidth="1"/>
    <col min="10756" max="10756" width="9.33203125" customWidth="1"/>
    <col min="10757" max="10757" width="10.6640625" customWidth="1"/>
    <col min="10758" max="10758" width="17.88671875" customWidth="1"/>
    <col min="10759" max="10759" width="20" customWidth="1"/>
    <col min="11010" max="11010" width="30.33203125" customWidth="1"/>
    <col min="11011" max="11011" width="22.44140625" customWidth="1"/>
    <col min="11012" max="11012" width="9.33203125" customWidth="1"/>
    <col min="11013" max="11013" width="10.6640625" customWidth="1"/>
    <col min="11014" max="11014" width="17.88671875" customWidth="1"/>
    <col min="11015" max="11015" width="20" customWidth="1"/>
    <col min="11266" max="11266" width="30.33203125" customWidth="1"/>
    <col min="11267" max="11267" width="22.44140625" customWidth="1"/>
    <col min="11268" max="11268" width="9.33203125" customWidth="1"/>
    <col min="11269" max="11269" width="10.6640625" customWidth="1"/>
    <col min="11270" max="11270" width="17.88671875" customWidth="1"/>
    <col min="11271" max="11271" width="20" customWidth="1"/>
    <col min="11522" max="11522" width="30.33203125" customWidth="1"/>
    <col min="11523" max="11523" width="22.44140625" customWidth="1"/>
    <col min="11524" max="11524" width="9.33203125" customWidth="1"/>
    <col min="11525" max="11525" width="10.6640625" customWidth="1"/>
    <col min="11526" max="11526" width="17.88671875" customWidth="1"/>
    <col min="11527" max="11527" width="20" customWidth="1"/>
    <col min="11778" max="11778" width="30.33203125" customWidth="1"/>
    <col min="11779" max="11779" width="22.44140625" customWidth="1"/>
    <col min="11780" max="11780" width="9.33203125" customWidth="1"/>
    <col min="11781" max="11781" width="10.6640625" customWidth="1"/>
    <col min="11782" max="11782" width="17.88671875" customWidth="1"/>
    <col min="11783" max="11783" width="20" customWidth="1"/>
    <col min="12034" max="12034" width="30.33203125" customWidth="1"/>
    <col min="12035" max="12035" width="22.44140625" customWidth="1"/>
    <col min="12036" max="12036" width="9.33203125" customWidth="1"/>
    <col min="12037" max="12037" width="10.6640625" customWidth="1"/>
    <col min="12038" max="12038" width="17.88671875" customWidth="1"/>
    <col min="12039" max="12039" width="20" customWidth="1"/>
    <col min="12290" max="12290" width="30.33203125" customWidth="1"/>
    <col min="12291" max="12291" width="22.44140625" customWidth="1"/>
    <col min="12292" max="12292" width="9.33203125" customWidth="1"/>
    <col min="12293" max="12293" width="10.6640625" customWidth="1"/>
    <col min="12294" max="12294" width="17.88671875" customWidth="1"/>
    <col min="12295" max="12295" width="20" customWidth="1"/>
    <col min="12546" max="12546" width="30.33203125" customWidth="1"/>
    <col min="12547" max="12547" width="22.44140625" customWidth="1"/>
    <col min="12548" max="12548" width="9.33203125" customWidth="1"/>
    <col min="12549" max="12549" width="10.6640625" customWidth="1"/>
    <col min="12550" max="12550" width="17.88671875" customWidth="1"/>
    <col min="12551" max="12551" width="20" customWidth="1"/>
    <col min="12802" max="12802" width="30.33203125" customWidth="1"/>
    <col min="12803" max="12803" width="22.44140625" customWidth="1"/>
    <col min="12804" max="12804" width="9.33203125" customWidth="1"/>
    <col min="12805" max="12805" width="10.6640625" customWidth="1"/>
    <col min="12806" max="12806" width="17.88671875" customWidth="1"/>
    <col min="12807" max="12807" width="20" customWidth="1"/>
    <col min="13058" max="13058" width="30.33203125" customWidth="1"/>
    <col min="13059" max="13059" width="22.44140625" customWidth="1"/>
    <col min="13060" max="13060" width="9.33203125" customWidth="1"/>
    <col min="13061" max="13061" width="10.6640625" customWidth="1"/>
    <col min="13062" max="13062" width="17.88671875" customWidth="1"/>
    <col min="13063" max="13063" width="20" customWidth="1"/>
    <col min="13314" max="13314" width="30.33203125" customWidth="1"/>
    <col min="13315" max="13315" width="22.44140625" customWidth="1"/>
    <col min="13316" max="13316" width="9.33203125" customWidth="1"/>
    <col min="13317" max="13317" width="10.6640625" customWidth="1"/>
    <col min="13318" max="13318" width="17.88671875" customWidth="1"/>
    <col min="13319" max="13319" width="20" customWidth="1"/>
    <col min="13570" max="13570" width="30.33203125" customWidth="1"/>
    <col min="13571" max="13571" width="22.44140625" customWidth="1"/>
    <col min="13572" max="13572" width="9.33203125" customWidth="1"/>
    <col min="13573" max="13573" width="10.6640625" customWidth="1"/>
    <col min="13574" max="13574" width="17.88671875" customWidth="1"/>
    <col min="13575" max="13575" width="20" customWidth="1"/>
    <col min="13826" max="13826" width="30.33203125" customWidth="1"/>
    <col min="13827" max="13827" width="22.44140625" customWidth="1"/>
    <col min="13828" max="13828" width="9.33203125" customWidth="1"/>
    <col min="13829" max="13829" width="10.6640625" customWidth="1"/>
    <col min="13830" max="13830" width="17.88671875" customWidth="1"/>
    <col min="13831" max="13831" width="20" customWidth="1"/>
    <col min="14082" max="14082" width="30.33203125" customWidth="1"/>
    <col min="14083" max="14083" width="22.44140625" customWidth="1"/>
    <col min="14084" max="14084" width="9.33203125" customWidth="1"/>
    <col min="14085" max="14085" width="10.6640625" customWidth="1"/>
    <col min="14086" max="14086" width="17.88671875" customWidth="1"/>
    <col min="14087" max="14087" width="20" customWidth="1"/>
    <col min="14338" max="14338" width="30.33203125" customWidth="1"/>
    <col min="14339" max="14339" width="22.44140625" customWidth="1"/>
    <col min="14340" max="14340" width="9.33203125" customWidth="1"/>
    <col min="14341" max="14341" width="10.6640625" customWidth="1"/>
    <col min="14342" max="14342" width="17.88671875" customWidth="1"/>
    <col min="14343" max="14343" width="20" customWidth="1"/>
    <col min="14594" max="14594" width="30.33203125" customWidth="1"/>
    <col min="14595" max="14595" width="22.44140625" customWidth="1"/>
    <col min="14596" max="14596" width="9.33203125" customWidth="1"/>
    <col min="14597" max="14597" width="10.6640625" customWidth="1"/>
    <col min="14598" max="14598" width="17.88671875" customWidth="1"/>
    <col min="14599" max="14599" width="20" customWidth="1"/>
    <col min="14850" max="14850" width="30.33203125" customWidth="1"/>
    <col min="14851" max="14851" width="22.44140625" customWidth="1"/>
    <col min="14852" max="14852" width="9.33203125" customWidth="1"/>
    <col min="14853" max="14853" width="10.6640625" customWidth="1"/>
    <col min="14854" max="14854" width="17.88671875" customWidth="1"/>
    <col min="14855" max="14855" width="20" customWidth="1"/>
    <col min="15106" max="15106" width="30.33203125" customWidth="1"/>
    <col min="15107" max="15107" width="22.44140625" customWidth="1"/>
    <col min="15108" max="15108" width="9.33203125" customWidth="1"/>
    <col min="15109" max="15109" width="10.6640625" customWidth="1"/>
    <col min="15110" max="15110" width="17.88671875" customWidth="1"/>
    <col min="15111" max="15111" width="20" customWidth="1"/>
    <col min="15362" max="15362" width="30.33203125" customWidth="1"/>
    <col min="15363" max="15363" width="22.44140625" customWidth="1"/>
    <col min="15364" max="15364" width="9.33203125" customWidth="1"/>
    <col min="15365" max="15365" width="10.6640625" customWidth="1"/>
    <col min="15366" max="15366" width="17.88671875" customWidth="1"/>
    <col min="15367" max="15367" width="20" customWidth="1"/>
    <col min="15618" max="15618" width="30.33203125" customWidth="1"/>
    <col min="15619" max="15619" width="22.44140625" customWidth="1"/>
    <col min="15620" max="15620" width="9.33203125" customWidth="1"/>
    <col min="15621" max="15621" width="10.6640625" customWidth="1"/>
    <col min="15622" max="15622" width="17.88671875" customWidth="1"/>
    <col min="15623" max="15623" width="20" customWidth="1"/>
    <col min="15874" max="15874" width="30.33203125" customWidth="1"/>
    <col min="15875" max="15875" width="22.44140625" customWidth="1"/>
    <col min="15876" max="15876" width="9.33203125" customWidth="1"/>
    <col min="15877" max="15877" width="10.6640625" customWidth="1"/>
    <col min="15878" max="15878" width="17.88671875" customWidth="1"/>
    <col min="15879" max="15879" width="20" customWidth="1"/>
    <col min="16130" max="16130" width="30.33203125" customWidth="1"/>
    <col min="16131" max="16131" width="22.44140625" customWidth="1"/>
    <col min="16132" max="16132" width="9.33203125" customWidth="1"/>
    <col min="16133" max="16133" width="10.6640625" customWidth="1"/>
    <col min="16134" max="16134" width="17.88671875" customWidth="1"/>
    <col min="16135" max="16135" width="20" customWidth="1"/>
  </cols>
  <sheetData>
    <row r="1" spans="1:7">
      <c r="A1" s="638" t="s">
        <v>1010</v>
      </c>
      <c r="B1" s="638"/>
      <c r="C1" s="638"/>
      <c r="D1" s="638"/>
      <c r="E1" s="638"/>
      <c r="F1" s="638"/>
      <c r="G1" s="638"/>
    </row>
    <row r="2" spans="1:7">
      <c r="A2" s="638"/>
      <c r="B2" s="638"/>
      <c r="C2" s="638"/>
      <c r="D2" s="638"/>
      <c r="E2" s="638"/>
      <c r="F2" s="638"/>
      <c r="G2" s="638"/>
    </row>
    <row r="4" spans="1:7" ht="21" customHeight="1">
      <c r="A4" s="639" t="s">
        <v>536</v>
      </c>
      <c r="B4" s="639" t="s">
        <v>537</v>
      </c>
      <c r="C4" s="95" t="s">
        <v>1012</v>
      </c>
      <c r="D4" s="639" t="s">
        <v>538</v>
      </c>
      <c r="E4" s="639"/>
      <c r="F4" s="639"/>
      <c r="G4" s="639" t="s">
        <v>310</v>
      </c>
    </row>
    <row r="5" spans="1:7">
      <c r="A5" s="639"/>
      <c r="B5" s="639"/>
      <c r="C5" s="95" t="s">
        <v>539</v>
      </c>
      <c r="D5" s="95" t="s">
        <v>540</v>
      </c>
      <c r="E5" s="95" t="s">
        <v>541</v>
      </c>
      <c r="F5" s="95" t="s">
        <v>539</v>
      </c>
      <c r="G5" s="639"/>
    </row>
    <row r="6" spans="1:7">
      <c r="A6" s="96">
        <v>1</v>
      </c>
      <c r="B6" s="97" t="s">
        <v>827</v>
      </c>
      <c r="C6" s="98">
        <f>2419339.38/2</f>
        <v>1209669.69</v>
      </c>
      <c r="D6" s="99">
        <v>10</v>
      </c>
      <c r="E6" s="99">
        <v>1050</v>
      </c>
      <c r="F6" s="98">
        <f>E6*750*D6</f>
        <v>7875000</v>
      </c>
      <c r="G6" s="100">
        <f>+C6+F6</f>
        <v>9084669.6899999995</v>
      </c>
    </row>
    <row r="7" spans="1:7">
      <c r="A7" s="96">
        <v>7</v>
      </c>
      <c r="B7" s="97" t="s">
        <v>828</v>
      </c>
      <c r="C7" s="98">
        <f>1.3*1556188</f>
        <v>2023044.4000000001</v>
      </c>
      <c r="D7" s="99">
        <v>4</v>
      </c>
      <c r="E7" s="99">
        <v>1600</v>
      </c>
      <c r="F7" s="98">
        <f>E7*750*D7</f>
        <v>4800000</v>
      </c>
      <c r="G7" s="100">
        <f t="shared" ref="G7:G11" si="0">+C7+F7</f>
        <v>6823044.4000000004</v>
      </c>
    </row>
    <row r="8" spans="1:7">
      <c r="A8" s="96">
        <v>8</v>
      </c>
      <c r="B8" s="97" t="s">
        <v>829</v>
      </c>
      <c r="C8" s="101">
        <f>323768</f>
        <v>323768</v>
      </c>
      <c r="D8" s="99">
        <v>7</v>
      </c>
      <c r="E8" s="99">
        <v>30</v>
      </c>
      <c r="F8" s="98">
        <f>(E8*200*D8)+(500*50*1)</f>
        <v>67000</v>
      </c>
      <c r="G8" s="100">
        <f t="shared" si="0"/>
        <v>390768</v>
      </c>
    </row>
    <row r="9" spans="1:7" ht="28.8">
      <c r="A9" s="96">
        <v>10</v>
      </c>
      <c r="B9" s="97" t="s">
        <v>542</v>
      </c>
      <c r="C9" s="98">
        <v>450000</v>
      </c>
      <c r="D9" s="99">
        <v>5</v>
      </c>
      <c r="E9" s="99">
        <v>116</v>
      </c>
      <c r="F9" s="98">
        <f>E9*200*D9</f>
        <v>116000</v>
      </c>
      <c r="G9" s="100">
        <f>+C9+F9</f>
        <v>566000</v>
      </c>
    </row>
    <row r="10" spans="1:7" ht="28.8">
      <c r="A10" s="96">
        <v>13</v>
      </c>
      <c r="B10" s="97" t="s">
        <v>830</v>
      </c>
      <c r="C10" s="98">
        <v>50000</v>
      </c>
      <c r="D10" s="99">
        <v>2</v>
      </c>
      <c r="E10" s="99"/>
      <c r="F10" s="98"/>
      <c r="G10" s="100">
        <f>+C10*D10</f>
        <v>100000</v>
      </c>
    </row>
    <row r="11" spans="1:7" ht="43.2">
      <c r="A11" s="96">
        <v>15</v>
      </c>
      <c r="B11" s="97" t="s">
        <v>831</v>
      </c>
      <c r="C11" s="98">
        <f>25000*2.7</f>
        <v>67500</v>
      </c>
      <c r="D11" s="99"/>
      <c r="E11" s="99"/>
      <c r="F11" s="98">
        <v>0</v>
      </c>
      <c r="G11" s="100">
        <f t="shared" si="0"/>
        <v>67500</v>
      </c>
    </row>
    <row r="12" spans="1:7">
      <c r="A12" s="96">
        <v>16</v>
      </c>
      <c r="B12" s="97" t="s">
        <v>1011</v>
      </c>
      <c r="C12" s="98">
        <v>250000</v>
      </c>
      <c r="D12" s="99">
        <v>10</v>
      </c>
      <c r="E12" s="99">
        <v>30</v>
      </c>
      <c r="F12" s="98">
        <f>E12*750*D12</f>
        <v>225000</v>
      </c>
      <c r="G12" s="100">
        <f>+C12+F12</f>
        <v>475000</v>
      </c>
    </row>
    <row r="13" spans="1:7">
      <c r="A13" s="637" t="s">
        <v>122</v>
      </c>
      <c r="B13" s="637"/>
      <c r="C13" s="637"/>
      <c r="D13" s="637"/>
      <c r="E13" s="637"/>
      <c r="F13" s="637"/>
      <c r="G13" s="102">
        <f>SUM(G6:G12)</f>
        <v>17506982.09</v>
      </c>
    </row>
    <row r="14" spans="1:7">
      <c r="A14" s="7"/>
      <c r="B14" s="7"/>
      <c r="C14" s="103"/>
      <c r="D14" s="7"/>
      <c r="E14" s="7"/>
      <c r="F14" s="7"/>
      <c r="G14" s="7"/>
    </row>
  </sheetData>
  <mergeCells count="6">
    <mergeCell ref="A13:F13"/>
    <mergeCell ref="A1:G2"/>
    <mergeCell ref="A4:A5"/>
    <mergeCell ref="B4:B5"/>
    <mergeCell ref="D4:F4"/>
    <mergeCell ref="G4:G5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topLeftCell="A78" zoomScale="120" zoomScaleNormal="120" workbookViewId="0">
      <selection activeCell="C90" sqref="C90"/>
    </sheetView>
  </sheetViews>
  <sheetFormatPr baseColWidth="10" defaultColWidth="11.44140625" defaultRowHeight="14.4"/>
  <cols>
    <col min="1" max="1" width="73.5546875" bestFit="1" customWidth="1"/>
    <col min="2" max="2" width="11.44140625" style="87"/>
  </cols>
  <sheetData>
    <row r="1" spans="1:3">
      <c r="A1" s="640" t="s">
        <v>551</v>
      </c>
      <c r="B1" s="640"/>
      <c r="C1" s="640"/>
    </row>
    <row r="2" spans="1:3">
      <c r="A2" s="104" t="s">
        <v>550</v>
      </c>
      <c r="B2" s="105" t="s">
        <v>552</v>
      </c>
      <c r="C2" s="104" t="s">
        <v>553</v>
      </c>
    </row>
    <row r="3" spans="1:3" ht="17.399999999999999">
      <c r="A3" s="299" t="s">
        <v>1013</v>
      </c>
      <c r="B3" s="280">
        <v>1</v>
      </c>
      <c r="C3" s="300">
        <v>150000</v>
      </c>
    </row>
    <row r="4" spans="1:3" ht="17.399999999999999">
      <c r="A4" s="299" t="s">
        <v>1014</v>
      </c>
      <c r="B4" s="280">
        <v>1</v>
      </c>
      <c r="C4" s="300">
        <v>20000</v>
      </c>
    </row>
    <row r="5" spans="1:3" ht="17.399999999999999">
      <c r="A5" s="299" t="s">
        <v>1015</v>
      </c>
      <c r="B5" s="280">
        <v>1</v>
      </c>
      <c r="C5" s="300">
        <v>10000</v>
      </c>
    </row>
    <row r="6" spans="1:3" ht="17.399999999999999">
      <c r="A6" s="299" t="s">
        <v>1016</v>
      </c>
      <c r="B6" s="280">
        <v>1</v>
      </c>
      <c r="C6" s="300">
        <v>10000</v>
      </c>
    </row>
    <row r="7" spans="1:3" ht="17.399999999999999">
      <c r="A7" s="299" t="s">
        <v>1017</v>
      </c>
      <c r="B7" s="280">
        <v>1</v>
      </c>
      <c r="C7" s="300">
        <v>10000</v>
      </c>
    </row>
    <row r="8" spans="1:3" ht="17.399999999999999">
      <c r="A8" s="299" t="s">
        <v>1018</v>
      </c>
      <c r="B8" s="280">
        <v>1</v>
      </c>
      <c r="C8" s="300">
        <v>10000</v>
      </c>
    </row>
    <row r="9" spans="1:3" ht="17.399999999999999">
      <c r="A9" s="299" t="s">
        <v>1019</v>
      </c>
      <c r="B9" s="280">
        <v>1</v>
      </c>
      <c r="C9" s="300">
        <v>10000</v>
      </c>
    </row>
    <row r="10" spans="1:3" ht="17.399999999999999">
      <c r="A10" s="299" t="s">
        <v>1020</v>
      </c>
      <c r="B10" s="280">
        <v>1</v>
      </c>
      <c r="C10" s="300">
        <v>20000</v>
      </c>
    </row>
    <row r="11" spans="1:3" ht="17.399999999999999">
      <c r="A11" s="299" t="s">
        <v>1021</v>
      </c>
      <c r="B11" s="280">
        <v>1</v>
      </c>
      <c r="C11" s="300">
        <v>15000</v>
      </c>
    </row>
    <row r="12" spans="1:3" ht="17.399999999999999">
      <c r="A12" s="299" t="s">
        <v>1022</v>
      </c>
      <c r="B12" s="280">
        <v>1</v>
      </c>
      <c r="C12" s="300">
        <v>15000</v>
      </c>
    </row>
    <row r="13" spans="1:3" ht="17.399999999999999">
      <c r="A13" s="299" t="s">
        <v>1023</v>
      </c>
      <c r="B13" s="280">
        <v>1</v>
      </c>
      <c r="C13" s="300">
        <v>15000</v>
      </c>
    </row>
    <row r="14" spans="1:3" ht="17.399999999999999">
      <c r="A14" s="299" t="s">
        <v>1024</v>
      </c>
      <c r="B14" s="280">
        <v>1</v>
      </c>
      <c r="C14" s="300">
        <v>5000</v>
      </c>
    </row>
    <row r="15" spans="1:3" ht="17.399999999999999">
      <c r="A15" s="299" t="s">
        <v>1025</v>
      </c>
      <c r="B15" s="280">
        <v>1</v>
      </c>
      <c r="C15" s="300">
        <v>80000</v>
      </c>
    </row>
    <row r="16" spans="1:3" ht="20.399999999999999">
      <c r="A16" s="301" t="s">
        <v>1026</v>
      </c>
      <c r="B16" s="280">
        <v>15</v>
      </c>
      <c r="C16" s="300">
        <v>30000</v>
      </c>
    </row>
    <row r="17" spans="1:3" ht="20.399999999999999">
      <c r="A17" s="301" t="s">
        <v>1027</v>
      </c>
      <c r="B17" s="280">
        <v>15</v>
      </c>
      <c r="C17" s="300">
        <v>4000</v>
      </c>
    </row>
    <row r="18" spans="1:3" ht="20.399999999999999">
      <c r="A18" s="301" t="s">
        <v>1028</v>
      </c>
      <c r="B18" s="280">
        <v>20</v>
      </c>
      <c r="C18" s="300">
        <v>10000</v>
      </c>
    </row>
    <row r="19" spans="1:3" ht="20.399999999999999">
      <c r="A19" s="301" t="s">
        <v>1029</v>
      </c>
      <c r="B19" s="280">
        <v>20</v>
      </c>
      <c r="C19" s="300">
        <v>12000</v>
      </c>
    </row>
    <row r="20" spans="1:3" ht="20.399999999999999">
      <c r="A20" s="301" t="s">
        <v>1030</v>
      </c>
      <c r="B20" s="280">
        <v>2000</v>
      </c>
      <c r="C20" s="300">
        <f>300*B20</f>
        <v>600000</v>
      </c>
    </row>
    <row r="21" spans="1:3" ht="20.399999999999999">
      <c r="A21" s="301" t="s">
        <v>1031</v>
      </c>
      <c r="B21" s="280">
        <v>1000</v>
      </c>
      <c r="C21" s="300">
        <v>300000</v>
      </c>
    </row>
    <row r="22" spans="1:3" ht="20.399999999999999">
      <c r="A22" s="301" t="s">
        <v>1032</v>
      </c>
      <c r="B22" s="280">
        <v>1000</v>
      </c>
      <c r="C22" s="300">
        <v>500000</v>
      </c>
    </row>
    <row r="23" spans="1:3" ht="20.399999999999999">
      <c r="A23" s="301" t="s">
        <v>1033</v>
      </c>
      <c r="B23" s="280">
        <v>10000</v>
      </c>
      <c r="C23" s="300">
        <v>200000</v>
      </c>
    </row>
    <row r="24" spans="1:3" ht="20.399999999999999">
      <c r="A24" s="301" t="s">
        <v>1034</v>
      </c>
      <c r="B24" s="280">
        <v>1000</v>
      </c>
      <c r="C24" s="300">
        <f>+B24*500</f>
        <v>500000</v>
      </c>
    </row>
    <row r="25" spans="1:3" ht="20.399999999999999">
      <c r="A25" s="301" t="s">
        <v>1035</v>
      </c>
      <c r="B25" s="280">
        <v>500</v>
      </c>
      <c r="C25" s="300">
        <f>+B25*2500</f>
        <v>1250000</v>
      </c>
    </row>
    <row r="26" spans="1:3" ht="20.399999999999999">
      <c r="A26" s="301" t="s">
        <v>1036</v>
      </c>
      <c r="B26" s="280">
        <v>10</v>
      </c>
      <c r="C26" s="300">
        <v>15000</v>
      </c>
    </row>
    <row r="27" spans="1:3" ht="22.8">
      <c r="A27" s="302" t="s">
        <v>1037</v>
      </c>
      <c r="B27" s="280">
        <v>10</v>
      </c>
      <c r="C27" s="300">
        <v>8000</v>
      </c>
    </row>
    <row r="28" spans="1:3" ht="22.8">
      <c r="A28" s="302" t="s">
        <v>1038</v>
      </c>
      <c r="B28" s="280">
        <v>3</v>
      </c>
      <c r="C28" s="300">
        <v>825</v>
      </c>
    </row>
    <row r="29" spans="1:3" ht="22.8">
      <c r="A29" s="302" t="s">
        <v>1039</v>
      </c>
      <c r="B29" s="280">
        <v>7</v>
      </c>
      <c r="C29" s="300">
        <v>1050</v>
      </c>
    </row>
    <row r="30" spans="1:3" ht="22.8">
      <c r="A30" s="302" t="s">
        <v>1040</v>
      </c>
      <c r="B30" s="280">
        <v>1</v>
      </c>
      <c r="C30" s="300">
        <v>1500</v>
      </c>
    </row>
    <row r="31" spans="1:3" ht="22.8">
      <c r="A31" s="302" t="s">
        <v>1041</v>
      </c>
      <c r="B31" s="280">
        <v>1</v>
      </c>
      <c r="C31" s="300">
        <v>800</v>
      </c>
    </row>
    <row r="32" spans="1:3" ht="22.8">
      <c r="A32" s="303" t="s">
        <v>1042</v>
      </c>
      <c r="B32" s="280">
        <v>1</v>
      </c>
      <c r="C32" s="300">
        <v>800000</v>
      </c>
    </row>
    <row r="33" spans="1:3" ht="22.8">
      <c r="A33" s="303" t="s">
        <v>1043</v>
      </c>
      <c r="B33" s="280">
        <v>1</v>
      </c>
      <c r="C33" s="300">
        <v>8000</v>
      </c>
    </row>
    <row r="34" spans="1:3" ht="22.8">
      <c r="A34" s="304" t="s">
        <v>1044</v>
      </c>
      <c r="B34" s="280">
        <v>2</v>
      </c>
      <c r="C34" s="300">
        <v>1300</v>
      </c>
    </row>
    <row r="35" spans="1:3" ht="22.8">
      <c r="A35" s="304" t="s">
        <v>1045</v>
      </c>
      <c r="B35" s="280">
        <v>1</v>
      </c>
      <c r="C35" s="300">
        <v>7260</v>
      </c>
    </row>
    <row r="36" spans="1:3" ht="22.8">
      <c r="A36" s="303" t="s">
        <v>1046</v>
      </c>
      <c r="B36" s="280">
        <v>1</v>
      </c>
      <c r="C36" s="300">
        <v>400000</v>
      </c>
    </row>
    <row r="37" spans="1:3" ht="22.8">
      <c r="A37" s="304" t="s">
        <v>1047</v>
      </c>
      <c r="B37" s="280">
        <v>2</v>
      </c>
      <c r="C37" s="300">
        <v>40000</v>
      </c>
    </row>
    <row r="38" spans="1:3" ht="22.8">
      <c r="A38" s="304" t="s">
        <v>1048</v>
      </c>
      <c r="B38" s="280">
        <v>2</v>
      </c>
      <c r="C38" s="300">
        <v>25000</v>
      </c>
    </row>
    <row r="39" spans="1:3" ht="22.8">
      <c r="A39" s="304" t="s">
        <v>1049</v>
      </c>
      <c r="B39" s="280">
        <v>2</v>
      </c>
      <c r="C39" s="300">
        <v>15000</v>
      </c>
    </row>
    <row r="40" spans="1:3" ht="22.8">
      <c r="A40" s="304" t="s">
        <v>1050</v>
      </c>
      <c r="B40" s="280">
        <v>2</v>
      </c>
      <c r="C40" s="300">
        <v>8000</v>
      </c>
    </row>
    <row r="41" spans="1:3" ht="22.8">
      <c r="A41" s="303" t="s">
        <v>1051</v>
      </c>
      <c r="B41" s="280">
        <v>1</v>
      </c>
      <c r="C41" s="300">
        <v>1000</v>
      </c>
    </row>
    <row r="42" spans="1:3" ht="22.8">
      <c r="A42" s="302" t="s">
        <v>1052</v>
      </c>
      <c r="B42" s="280">
        <v>4</v>
      </c>
      <c r="C42" s="300">
        <v>30000</v>
      </c>
    </row>
    <row r="43" spans="1:3" ht="22.8">
      <c r="A43" s="302" t="s">
        <v>1053</v>
      </c>
      <c r="B43" s="280">
        <v>2</v>
      </c>
      <c r="C43" s="300">
        <v>28300</v>
      </c>
    </row>
    <row r="44" spans="1:3" ht="22.8">
      <c r="A44" s="302" t="s">
        <v>1054</v>
      </c>
      <c r="B44" s="280">
        <v>4</v>
      </c>
      <c r="C44" s="300">
        <v>12500</v>
      </c>
    </row>
    <row r="45" spans="1:3" ht="22.8">
      <c r="A45" s="302" t="s">
        <v>1055</v>
      </c>
      <c r="B45" s="280">
        <v>4</v>
      </c>
      <c r="C45" s="300">
        <v>9000</v>
      </c>
    </row>
    <row r="46" spans="1:3" ht="22.8">
      <c r="A46" s="302" t="s">
        <v>1056</v>
      </c>
      <c r="B46" s="280">
        <v>6</v>
      </c>
      <c r="C46" s="300">
        <v>7000</v>
      </c>
    </row>
    <row r="47" spans="1:3" ht="22.8">
      <c r="A47" s="302" t="s">
        <v>1057</v>
      </c>
      <c r="B47" s="280">
        <v>2</v>
      </c>
      <c r="C47" s="300">
        <v>25000</v>
      </c>
    </row>
    <row r="48" spans="1:3" ht="22.8">
      <c r="A48" s="302" t="s">
        <v>1058</v>
      </c>
      <c r="B48" s="280">
        <v>4</v>
      </c>
      <c r="C48" s="300">
        <v>11730</v>
      </c>
    </row>
    <row r="49" spans="1:3" ht="22.8">
      <c r="A49" s="302" t="s">
        <v>1059</v>
      </c>
      <c r="B49" s="280">
        <v>3</v>
      </c>
      <c r="C49" s="300">
        <v>35000</v>
      </c>
    </row>
    <row r="50" spans="1:3" ht="22.8">
      <c r="A50" s="302" t="s">
        <v>1060</v>
      </c>
      <c r="B50" s="280">
        <v>4</v>
      </c>
      <c r="C50" s="300">
        <v>5850</v>
      </c>
    </row>
    <row r="51" spans="1:3" ht="22.8">
      <c r="A51" s="302" t="s">
        <v>1061</v>
      </c>
      <c r="B51" s="280">
        <v>2</v>
      </c>
      <c r="C51" s="300">
        <v>2300</v>
      </c>
    </row>
    <row r="52" spans="1:3" ht="22.8">
      <c r="A52" s="302" t="s">
        <v>1062</v>
      </c>
      <c r="B52" s="280">
        <v>4</v>
      </c>
      <c r="C52" s="300">
        <v>4500</v>
      </c>
    </row>
    <row r="53" spans="1:3" ht="22.8">
      <c r="A53" s="302" t="s">
        <v>1063</v>
      </c>
      <c r="B53" s="280">
        <v>2</v>
      </c>
      <c r="C53" s="300">
        <v>2530</v>
      </c>
    </row>
    <row r="54" spans="1:3" ht="22.8">
      <c r="A54" s="302" t="s">
        <v>1064</v>
      </c>
      <c r="B54" s="280">
        <v>2</v>
      </c>
      <c r="C54" s="300">
        <v>15500</v>
      </c>
    </row>
    <row r="55" spans="1:3" ht="22.8">
      <c r="A55" s="302" t="s">
        <v>1065</v>
      </c>
      <c r="B55" s="280">
        <v>4</v>
      </c>
      <c r="C55" s="300">
        <v>10000</v>
      </c>
    </row>
    <row r="56" spans="1:3" ht="22.8">
      <c r="A56" s="302" t="s">
        <v>1066</v>
      </c>
      <c r="B56" s="280">
        <v>2</v>
      </c>
      <c r="C56" s="300">
        <v>7500</v>
      </c>
    </row>
    <row r="57" spans="1:3" ht="22.8">
      <c r="A57" s="302" t="s">
        <v>1067</v>
      </c>
      <c r="B57" s="280">
        <v>4</v>
      </c>
      <c r="C57" s="300">
        <v>5000</v>
      </c>
    </row>
    <row r="58" spans="1:3" ht="22.8">
      <c r="A58" s="302" t="s">
        <v>1068</v>
      </c>
      <c r="B58" s="280">
        <v>4</v>
      </c>
      <c r="C58" s="300">
        <v>3000</v>
      </c>
    </row>
    <row r="59" spans="1:3" ht="22.8">
      <c r="A59" s="302" t="s">
        <v>1069</v>
      </c>
      <c r="B59" s="280">
        <v>4</v>
      </c>
      <c r="C59" s="300">
        <v>7000</v>
      </c>
    </row>
    <row r="60" spans="1:3" ht="22.8">
      <c r="A60" s="302" t="s">
        <v>1070</v>
      </c>
      <c r="B60" s="280">
        <v>2</v>
      </c>
      <c r="C60" s="300">
        <v>3500</v>
      </c>
    </row>
    <row r="61" spans="1:3" ht="22.8">
      <c r="A61" s="302" t="s">
        <v>1071</v>
      </c>
      <c r="B61" s="280">
        <v>6</v>
      </c>
      <c r="C61" s="300">
        <v>7000</v>
      </c>
    </row>
    <row r="62" spans="1:3" ht="22.8">
      <c r="A62" s="302" t="s">
        <v>1072</v>
      </c>
      <c r="B62" s="280">
        <v>2</v>
      </c>
      <c r="C62" s="300">
        <v>23297</v>
      </c>
    </row>
    <row r="63" spans="1:3" ht="22.8">
      <c r="A63" s="302" t="s">
        <v>1073</v>
      </c>
      <c r="B63" s="280">
        <v>1</v>
      </c>
      <c r="C63" s="300">
        <v>3500</v>
      </c>
    </row>
    <row r="64" spans="1:3" ht="22.8">
      <c r="A64" s="304" t="s">
        <v>1074</v>
      </c>
      <c r="B64" s="280">
        <v>1</v>
      </c>
      <c r="C64" s="300">
        <v>13800</v>
      </c>
    </row>
    <row r="65" spans="1:3" ht="22.8">
      <c r="A65" s="304" t="s">
        <v>1075</v>
      </c>
      <c r="B65" s="280">
        <v>1</v>
      </c>
      <c r="C65" s="300">
        <v>22000</v>
      </c>
    </row>
    <row r="66" spans="1:3" ht="22.8">
      <c r="A66" s="304" t="s">
        <v>1076</v>
      </c>
      <c r="B66" s="280">
        <v>2</v>
      </c>
      <c r="C66" s="300">
        <v>3500</v>
      </c>
    </row>
    <row r="67" spans="1:3" ht="22.8">
      <c r="A67" s="304" t="s">
        <v>1077</v>
      </c>
      <c r="B67" s="280">
        <v>1</v>
      </c>
      <c r="C67" s="300">
        <v>2258</v>
      </c>
    </row>
    <row r="68" spans="1:3" ht="22.8">
      <c r="A68" s="304" t="s">
        <v>1078</v>
      </c>
      <c r="B68" s="280">
        <v>1</v>
      </c>
      <c r="C68" s="300">
        <v>2530</v>
      </c>
    </row>
    <row r="69" spans="1:3" ht="22.8">
      <c r="A69" s="304" t="s">
        <v>1079</v>
      </c>
      <c r="B69" s="280">
        <v>1</v>
      </c>
      <c r="C69" s="300">
        <v>2300</v>
      </c>
    </row>
    <row r="70" spans="1:3" ht="22.8">
      <c r="A70" s="304" t="s">
        <v>1080</v>
      </c>
      <c r="B70" s="280">
        <v>1</v>
      </c>
      <c r="C70" s="300">
        <v>4000</v>
      </c>
    </row>
    <row r="71" spans="1:3" ht="22.8">
      <c r="A71" s="304" t="s">
        <v>1081</v>
      </c>
      <c r="B71" s="280">
        <v>4</v>
      </c>
      <c r="C71" s="300">
        <v>7419</v>
      </c>
    </row>
    <row r="72" spans="1:3" ht="22.8">
      <c r="A72" s="304" t="s">
        <v>1082</v>
      </c>
      <c r="B72" s="280">
        <v>3</v>
      </c>
      <c r="C72" s="300">
        <v>2300</v>
      </c>
    </row>
    <row r="73" spans="1:3" ht="22.8">
      <c r="A73" s="304" t="s">
        <v>1083</v>
      </c>
      <c r="B73" s="280">
        <v>2</v>
      </c>
      <c r="C73" s="300">
        <v>3000</v>
      </c>
    </row>
    <row r="74" spans="1:3" ht="22.8">
      <c r="A74" s="304" t="s">
        <v>1084</v>
      </c>
      <c r="B74" s="280">
        <v>4</v>
      </c>
      <c r="C74" s="300">
        <v>3500</v>
      </c>
    </row>
    <row r="75" spans="1:3" ht="22.8">
      <c r="A75" s="304" t="s">
        <v>1085</v>
      </c>
      <c r="B75" s="280">
        <v>1</v>
      </c>
      <c r="C75" s="300">
        <v>1800</v>
      </c>
    </row>
    <row r="76" spans="1:3" ht="22.8">
      <c r="A76" s="304" t="s">
        <v>1086</v>
      </c>
      <c r="B76" s="280">
        <v>1</v>
      </c>
      <c r="C76" s="300">
        <v>3500</v>
      </c>
    </row>
    <row r="77" spans="1:3" ht="22.8">
      <c r="A77" s="304" t="s">
        <v>1087</v>
      </c>
      <c r="B77" s="280">
        <v>1</v>
      </c>
      <c r="C77" s="300">
        <v>3800</v>
      </c>
    </row>
    <row r="78" spans="1:3" ht="22.8">
      <c r="A78" s="304" t="s">
        <v>1088</v>
      </c>
      <c r="B78" s="280">
        <v>1</v>
      </c>
      <c r="C78" s="300">
        <v>1800</v>
      </c>
    </row>
    <row r="79" spans="1:3" ht="22.8">
      <c r="A79" s="304" t="s">
        <v>1088</v>
      </c>
      <c r="B79" s="280">
        <v>1</v>
      </c>
      <c r="C79" s="300">
        <v>1000</v>
      </c>
    </row>
    <row r="80" spans="1:3" ht="22.8">
      <c r="A80" s="304" t="s">
        <v>253</v>
      </c>
      <c r="B80" s="280"/>
      <c r="C80" s="300"/>
    </row>
    <row r="81" spans="1:3" ht="22.8">
      <c r="A81" s="304" t="s">
        <v>1089</v>
      </c>
      <c r="B81" s="280">
        <v>1</v>
      </c>
      <c r="C81" s="300"/>
    </row>
    <row r="82" spans="1:3" ht="22.8">
      <c r="A82" s="304" t="s">
        <v>1090</v>
      </c>
      <c r="B82" s="280">
        <v>1</v>
      </c>
      <c r="C82" s="300">
        <v>156330</v>
      </c>
    </row>
    <row r="83" spans="1:3" ht="22.8">
      <c r="A83" s="304" t="s">
        <v>1091</v>
      </c>
      <c r="B83" s="280">
        <v>1</v>
      </c>
      <c r="C83" s="300">
        <v>625320</v>
      </c>
    </row>
    <row r="84" spans="1:3" ht="22.8">
      <c r="A84" s="304" t="s">
        <v>1092</v>
      </c>
      <c r="B84" s="280">
        <v>4</v>
      </c>
      <c r="C84" s="300">
        <v>41850</v>
      </c>
    </row>
    <row r="85" spans="1:3" s="106" customFormat="1" ht="22.8">
      <c r="A85" s="304" t="s">
        <v>1356</v>
      </c>
      <c r="B85" s="280">
        <v>12</v>
      </c>
      <c r="C85" s="300">
        <f>95000*12</f>
        <v>1140000</v>
      </c>
    </row>
    <row r="86" spans="1:3" s="106" customFormat="1" ht="22.8">
      <c r="A86" s="304" t="s">
        <v>1357</v>
      </c>
      <c r="B86" s="280">
        <v>8</v>
      </c>
      <c r="C86" s="300">
        <f>60000*8</f>
        <v>480000</v>
      </c>
    </row>
    <row r="87" spans="1:3" s="106" customFormat="1" ht="22.8">
      <c r="A87" s="304" t="s">
        <v>1358</v>
      </c>
      <c r="B87" s="280">
        <v>8</v>
      </c>
      <c r="C87" s="300">
        <f>6000*B87</f>
        <v>48000</v>
      </c>
    </row>
    <row r="88" spans="1:3" s="106" customFormat="1" ht="22.8">
      <c r="A88" s="304" t="s">
        <v>1359</v>
      </c>
      <c r="B88" s="280">
        <v>1</v>
      </c>
      <c r="C88" s="300">
        <v>115000</v>
      </c>
    </row>
    <row r="89" spans="1:3" s="106" customFormat="1" ht="22.8">
      <c r="A89" s="304" t="s">
        <v>1362</v>
      </c>
      <c r="B89" s="280">
        <v>12</v>
      </c>
      <c r="C89" s="300">
        <f>+B89*2000*6</f>
        <v>144000</v>
      </c>
    </row>
    <row r="90" spans="1:3" ht="15.6">
      <c r="A90" s="264"/>
      <c r="B90" s="280"/>
      <c r="C90" s="305">
        <f>SUM(C3:C88)</f>
        <v>8052749</v>
      </c>
    </row>
  </sheetData>
  <mergeCells count="1"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C20" sqref="C20"/>
    </sheetView>
  </sheetViews>
  <sheetFormatPr baseColWidth="10" defaultColWidth="11.44140625" defaultRowHeight="15"/>
  <cols>
    <col min="1" max="1" width="28.44140625" style="65" customWidth="1"/>
    <col min="2" max="2" width="13.44140625" style="65" customWidth="1"/>
    <col min="3" max="3" width="14.33203125" style="65" customWidth="1"/>
    <col min="4" max="4" width="19.6640625" style="65" customWidth="1"/>
    <col min="5" max="16384" width="11.44140625" style="65"/>
  </cols>
  <sheetData>
    <row r="1" spans="1:4" ht="15.6">
      <c r="A1" s="85" t="s">
        <v>148</v>
      </c>
      <c r="B1" s="86"/>
    </row>
    <row r="2" spans="1:4" ht="31.2">
      <c r="A2" s="25" t="s">
        <v>543</v>
      </c>
      <c r="B2" s="25" t="s">
        <v>308</v>
      </c>
      <c r="C2" s="25" t="s">
        <v>309</v>
      </c>
      <c r="D2" s="25" t="s">
        <v>554</v>
      </c>
    </row>
    <row r="3" spans="1:4" ht="45" customHeight="1">
      <c r="A3" s="641" t="s">
        <v>987</v>
      </c>
      <c r="B3" s="642"/>
      <c r="C3" s="642"/>
      <c r="D3" s="643"/>
    </row>
    <row r="4" spans="1:4">
      <c r="A4" s="3" t="s">
        <v>544</v>
      </c>
      <c r="B4" s="26">
        <v>1</v>
      </c>
      <c r="C4" s="4">
        <v>90000</v>
      </c>
      <c r="D4" s="293">
        <f>+C4*B4</f>
        <v>90000</v>
      </c>
    </row>
    <row r="5" spans="1:4">
      <c r="A5" s="3" t="s">
        <v>988</v>
      </c>
      <c r="B5" s="26">
        <v>1</v>
      </c>
      <c r="C5" s="4">
        <v>90000</v>
      </c>
      <c r="D5" s="293">
        <f t="shared" ref="D5:D19" si="0">+C5*B5</f>
        <v>90000</v>
      </c>
    </row>
    <row r="6" spans="1:4" ht="45">
      <c r="A6" s="3" t="s">
        <v>545</v>
      </c>
      <c r="B6" s="26">
        <v>1</v>
      </c>
      <c r="C6" s="4">
        <v>90000</v>
      </c>
      <c r="D6" s="293">
        <f t="shared" si="0"/>
        <v>90000</v>
      </c>
    </row>
    <row r="7" spans="1:4">
      <c r="A7" s="3" t="s">
        <v>546</v>
      </c>
      <c r="B7" s="26">
        <v>1</v>
      </c>
      <c r="C7" s="4">
        <v>90000</v>
      </c>
      <c r="D7" s="293">
        <f t="shared" si="0"/>
        <v>90000</v>
      </c>
    </row>
    <row r="8" spans="1:4">
      <c r="A8" s="3" t="s">
        <v>547</v>
      </c>
      <c r="B8" s="26">
        <v>1</v>
      </c>
      <c r="C8" s="4">
        <v>90000</v>
      </c>
      <c r="D8" s="293">
        <f t="shared" si="0"/>
        <v>90000</v>
      </c>
    </row>
    <row r="9" spans="1:4">
      <c r="A9" s="3" t="s">
        <v>989</v>
      </c>
      <c r="B9" s="26">
        <v>1</v>
      </c>
      <c r="C9" s="4">
        <v>90000</v>
      </c>
      <c r="D9" s="293">
        <f t="shared" si="0"/>
        <v>90000</v>
      </c>
    </row>
    <row r="10" spans="1:4">
      <c r="A10" s="3" t="s">
        <v>548</v>
      </c>
      <c r="B10" s="26">
        <v>1</v>
      </c>
      <c r="C10" s="4">
        <v>90000</v>
      </c>
      <c r="D10" s="293">
        <f t="shared" si="0"/>
        <v>90000</v>
      </c>
    </row>
    <row r="11" spans="1:4">
      <c r="A11" s="292" t="s">
        <v>990</v>
      </c>
      <c r="B11" s="26">
        <v>1</v>
      </c>
      <c r="C11" s="4">
        <v>90000</v>
      </c>
      <c r="D11" s="293">
        <f t="shared" si="0"/>
        <v>90000</v>
      </c>
    </row>
    <row r="12" spans="1:4">
      <c r="A12" s="292" t="s">
        <v>991</v>
      </c>
      <c r="B12" s="26">
        <v>1</v>
      </c>
      <c r="C12" s="4">
        <v>90000</v>
      </c>
      <c r="D12" s="293">
        <f t="shared" si="0"/>
        <v>90000</v>
      </c>
    </row>
    <row r="13" spans="1:4">
      <c r="A13" s="292" t="s">
        <v>992</v>
      </c>
      <c r="B13" s="26">
        <v>1</v>
      </c>
      <c r="C13" s="4">
        <v>90000</v>
      </c>
      <c r="D13" s="293">
        <f t="shared" si="0"/>
        <v>90000</v>
      </c>
    </row>
    <row r="14" spans="1:4">
      <c r="A14" s="292" t="s">
        <v>993</v>
      </c>
      <c r="B14" s="26">
        <v>1</v>
      </c>
      <c r="C14" s="4">
        <v>90000</v>
      </c>
      <c r="D14" s="293">
        <f t="shared" si="0"/>
        <v>90000</v>
      </c>
    </row>
    <row r="15" spans="1:4">
      <c r="A15" s="292" t="s">
        <v>994</v>
      </c>
      <c r="B15" s="26">
        <v>1</v>
      </c>
      <c r="C15" s="4">
        <v>90000</v>
      </c>
      <c r="D15" s="293">
        <f t="shared" si="0"/>
        <v>90000</v>
      </c>
    </row>
    <row r="16" spans="1:4">
      <c r="A16" s="292" t="s">
        <v>995</v>
      </c>
      <c r="B16" s="26">
        <v>1</v>
      </c>
      <c r="C16" s="4">
        <v>90000</v>
      </c>
      <c r="D16" s="293">
        <f t="shared" si="0"/>
        <v>90000</v>
      </c>
    </row>
    <row r="17" spans="1:4">
      <c r="A17" s="292" t="s">
        <v>996</v>
      </c>
      <c r="B17" s="26">
        <v>1</v>
      </c>
      <c r="C17" s="4">
        <v>90000</v>
      </c>
      <c r="D17" s="293">
        <f t="shared" si="0"/>
        <v>90000</v>
      </c>
    </row>
    <row r="18" spans="1:4">
      <c r="A18" s="292" t="s">
        <v>997</v>
      </c>
      <c r="B18" s="26">
        <v>1</v>
      </c>
      <c r="C18" s="4">
        <v>90000</v>
      </c>
      <c r="D18" s="293">
        <f t="shared" si="0"/>
        <v>90000</v>
      </c>
    </row>
    <row r="19" spans="1:4">
      <c r="A19" s="295" t="s">
        <v>998</v>
      </c>
      <c r="B19" s="296">
        <v>1</v>
      </c>
      <c r="C19" s="297">
        <v>200000</v>
      </c>
      <c r="D19" s="293">
        <f t="shared" si="0"/>
        <v>200000</v>
      </c>
    </row>
    <row r="20" spans="1:4">
      <c r="D20" s="294">
        <f>SUM(D4:D19)</f>
        <v>1550000</v>
      </c>
    </row>
  </sheetData>
  <mergeCells count="1"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14</vt:i4>
      </vt:variant>
    </vt:vector>
  </HeadingPairs>
  <TitlesOfParts>
    <vt:vector size="27" baseType="lpstr">
      <vt:lpstr>POA DIGESETT 2019</vt:lpstr>
      <vt:lpstr>Matriz de Necesidades</vt:lpstr>
      <vt:lpstr>Depart. Financiero</vt:lpstr>
      <vt:lpstr>2.7.3.1</vt:lpstr>
      <vt:lpstr>2.7.2.4 (a)</vt:lpstr>
      <vt:lpstr>2.7.2.4 (b)</vt:lpstr>
      <vt:lpstr>2.7.6.2</vt:lpstr>
      <vt:lpstr>Salud</vt:lpstr>
      <vt:lpstr>Tecnolgia</vt:lpstr>
      <vt:lpstr>CEMACO</vt:lpstr>
      <vt:lpstr>Telecomunicaciones</vt:lpstr>
      <vt:lpstr>Transportacion</vt:lpstr>
      <vt:lpstr>Mant. VEHICULOS</vt:lpstr>
      <vt:lpstr>'2.7.2.4 (a)'!Área_de_impresión</vt:lpstr>
      <vt:lpstr>'Depart. Financiero'!Área_de_impresión</vt:lpstr>
      <vt:lpstr>'Mant. VEHICULOS'!Área_de_impresión</vt:lpstr>
      <vt:lpstr>'Matriz de Necesidades'!Área_de_impresión</vt:lpstr>
      <vt:lpstr>'POA DIGESETT 2019'!Área_de_impresión</vt:lpstr>
      <vt:lpstr>'2.7.2.4 (a)'!Print_Area</vt:lpstr>
      <vt:lpstr>'2.7.2.4 (b)'!Print_Area</vt:lpstr>
      <vt:lpstr>'Matriz de Necesidades'!Print_Area</vt:lpstr>
      <vt:lpstr>'POA DIGESETT 2019'!Print_Area</vt:lpstr>
      <vt:lpstr>'2.7.2.4 (b)'!Print_Titles</vt:lpstr>
      <vt:lpstr>'Matriz de Necesidades'!Print_Titles</vt:lpstr>
      <vt:lpstr>'POA DIGESETT 2019'!Print_Titles</vt:lpstr>
      <vt:lpstr>'Matriz de Necesidades'!Títulos_a_imprimir</vt:lpstr>
      <vt:lpstr>'POA DIGESETT 2019'!Títulos_a_imprimir</vt:lpstr>
    </vt:vector>
  </TitlesOfParts>
  <Company>TuSoft.org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O. Ferreras Mendez</dc:creator>
  <cp:lastModifiedBy>Robinson De Jesus Contreras Contreras</cp:lastModifiedBy>
  <cp:lastPrinted>2018-08-17T22:15:07Z</cp:lastPrinted>
  <dcterms:created xsi:type="dcterms:W3CDTF">2017-05-11T17:44:24Z</dcterms:created>
  <dcterms:modified xsi:type="dcterms:W3CDTF">2019-06-10T15:38:40Z</dcterms:modified>
</cp:coreProperties>
</file>