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95"/>
  </bookViews>
  <sheets>
    <sheet name="LIMP. " sheetId="12" r:id="rId1"/>
    <sheet name="OFC. " sheetId="10" r:id="rId2"/>
    <sheet name="IND." sheetId="7" r:id="rId3"/>
    <sheet name="SALUD " sheetId="5" r:id="rId4"/>
  </sheets>
  <definedNames>
    <definedName name="_xlnm.Print_Area" localSheetId="2">IND.!$A$1:$I$49</definedName>
    <definedName name="_xlnm.Print_Area" localSheetId="0">'LIMP. '!$A$1:$I$60</definedName>
    <definedName name="_xlnm.Print_Area" localSheetId="1">'OFC. '!$A$1:$I$123</definedName>
    <definedName name="_xlnm.Print_Area" localSheetId="3">'SALUD '!$A$1:$I$23</definedName>
  </definedNames>
  <calcPr calcId="162913"/>
</workbook>
</file>

<file path=xl/calcChain.xml><?xml version="1.0" encoding="utf-8"?>
<calcChain xmlns="http://schemas.openxmlformats.org/spreadsheetml/2006/main">
  <c r="F68" i="10" l="1"/>
  <c r="F50" i="12" l="1"/>
  <c r="I50" i="12" s="1"/>
  <c r="I49" i="12"/>
  <c r="F48" i="12"/>
  <c r="I48" i="12" s="1"/>
  <c r="I47" i="12"/>
  <c r="F46" i="12"/>
  <c r="I46" i="12" s="1"/>
  <c r="I45" i="12"/>
  <c r="F44" i="12"/>
  <c r="I44" i="12" s="1"/>
  <c r="I43" i="12"/>
  <c r="F42" i="12"/>
  <c r="I42" i="12" s="1"/>
  <c r="F41" i="12"/>
  <c r="I41" i="12" s="1"/>
  <c r="I40" i="12"/>
  <c r="F39" i="12"/>
  <c r="I39" i="12" s="1"/>
  <c r="I38" i="12"/>
  <c r="F37" i="12"/>
  <c r="I37" i="12" s="1"/>
  <c r="I36" i="12"/>
  <c r="F35" i="12"/>
  <c r="I35" i="12" s="1"/>
  <c r="I34" i="12"/>
  <c r="I33" i="12"/>
  <c r="F32" i="12"/>
  <c r="I32" i="12" s="1"/>
  <c r="I31" i="12"/>
  <c r="F30" i="12"/>
  <c r="I30" i="12" s="1"/>
  <c r="F29" i="12"/>
  <c r="I29" i="12" s="1"/>
  <c r="I28" i="12"/>
  <c r="F27" i="12"/>
  <c r="I27" i="12" s="1"/>
  <c r="I26" i="12"/>
  <c r="F25" i="12"/>
  <c r="I25" i="12" s="1"/>
  <c r="I24" i="12"/>
  <c r="I23" i="12"/>
  <c r="F22" i="12"/>
  <c r="I22" i="12" s="1"/>
  <c r="I21" i="12"/>
  <c r="F20" i="12"/>
  <c r="I20" i="12" s="1"/>
  <c r="I19" i="12"/>
  <c r="I18" i="12"/>
  <c r="F17" i="12"/>
  <c r="I17" i="12" s="1"/>
  <c r="I16" i="12"/>
  <c r="F15" i="12"/>
  <c r="I15" i="12" s="1"/>
  <c r="I14" i="12"/>
  <c r="F13" i="12"/>
  <c r="I13" i="12" s="1"/>
  <c r="I12" i="12"/>
  <c r="I11" i="12"/>
  <c r="F10" i="12"/>
  <c r="I10" i="12" s="1"/>
  <c r="I9" i="12"/>
  <c r="I8" i="12"/>
  <c r="F7" i="12"/>
  <c r="I7" i="12" s="1"/>
  <c r="F6" i="12"/>
  <c r="I6" i="12" s="1"/>
  <c r="I51" i="12" l="1"/>
  <c r="F15" i="7" l="1"/>
  <c r="I15" i="7" l="1"/>
  <c r="F11" i="5" l="1"/>
  <c r="F71" i="10"/>
  <c r="F66" i="10"/>
  <c r="F62" i="10"/>
  <c r="F61" i="10"/>
  <c r="F52" i="10"/>
  <c r="F51" i="10"/>
  <c r="F47" i="10"/>
  <c r="F45" i="10"/>
  <c r="F42" i="10"/>
  <c r="F41" i="10"/>
  <c r="F32" i="10"/>
  <c r="F24" i="10"/>
  <c r="F23" i="10"/>
  <c r="F18" i="10"/>
  <c r="F16" i="10"/>
  <c r="F14" i="10"/>
  <c r="F8" i="10"/>
  <c r="F34" i="7" l="1"/>
  <c r="F35" i="7"/>
  <c r="F37" i="7"/>
  <c r="F16" i="7"/>
  <c r="F31" i="7"/>
  <c r="F32" i="7"/>
  <c r="F23" i="7"/>
  <c r="I23" i="7" s="1"/>
  <c r="F17" i="7"/>
  <c r="F20" i="7"/>
  <c r="F10" i="7"/>
  <c r="F13" i="7"/>
  <c r="F26" i="7"/>
  <c r="F9" i="7"/>
  <c r="F7" i="7"/>
  <c r="F87" i="10"/>
  <c r="F81" i="10" l="1"/>
  <c r="F100" i="10"/>
  <c r="F97" i="10"/>
  <c r="F94" i="10"/>
  <c r="F91" i="10"/>
  <c r="F73" i="10"/>
  <c r="F72" i="10"/>
  <c r="F69" i="10"/>
  <c r="F64" i="10"/>
  <c r="F59" i="10"/>
  <c r="F54" i="10"/>
  <c r="F46" i="10"/>
  <c r="F26" i="10"/>
  <c r="F25" i="10"/>
  <c r="F17" i="10"/>
  <c r="F15" i="10"/>
  <c r="F13" i="10"/>
  <c r="F12" i="5"/>
  <c r="I30" i="7"/>
  <c r="I14" i="7"/>
  <c r="F29" i="7" l="1"/>
  <c r="F28" i="7"/>
  <c r="F79" i="10" l="1"/>
  <c r="F90" i="10"/>
  <c r="F89" i="10"/>
  <c r="F88" i="10"/>
  <c r="F22" i="7"/>
  <c r="F24" i="7"/>
  <c r="F86" i="10" l="1"/>
  <c r="F85" i="10"/>
  <c r="I26" i="7"/>
  <c r="I22" i="7" l="1"/>
  <c r="F9" i="10" l="1"/>
  <c r="F65" i="10" l="1"/>
  <c r="I62" i="10"/>
  <c r="F57" i="10"/>
  <c r="F33" i="10"/>
  <c r="F29" i="10"/>
  <c r="F19" i="10"/>
  <c r="F12" i="10"/>
  <c r="F112" i="10"/>
  <c r="F109" i="10"/>
  <c r="F106" i="10"/>
  <c r="F103" i="10"/>
  <c r="F77" i="10"/>
  <c r="F18" i="7" l="1"/>
  <c r="F70" i="10" l="1"/>
  <c r="F63" i="10"/>
  <c r="F11" i="10"/>
  <c r="I51" i="10" l="1"/>
  <c r="I52" i="10"/>
  <c r="F48" i="10" l="1"/>
  <c r="F43" i="10"/>
  <c r="I11" i="7" l="1"/>
  <c r="I12" i="7"/>
  <c r="F27" i="7" l="1"/>
  <c r="F27" i="10" l="1"/>
  <c r="I108" i="10" l="1"/>
  <c r="F35" i="10" l="1"/>
  <c r="F34" i="10"/>
  <c r="F33" i="7" l="1"/>
  <c r="F21" i="7"/>
  <c r="I17" i="7" l="1"/>
  <c r="I32" i="10"/>
  <c r="I33" i="10"/>
  <c r="I34" i="10"/>
  <c r="I35" i="10"/>
  <c r="I88" i="10"/>
  <c r="I89" i="10"/>
  <c r="I90" i="10"/>
  <c r="I92" i="10"/>
  <c r="I93" i="10"/>
  <c r="I95" i="10"/>
  <c r="I96" i="10"/>
  <c r="I98" i="10"/>
  <c r="I99" i="10"/>
  <c r="I101" i="10"/>
  <c r="I102" i="10"/>
  <c r="I104" i="10"/>
  <c r="I105" i="10"/>
  <c r="I107" i="10"/>
  <c r="I110" i="10"/>
  <c r="I111" i="10"/>
  <c r="I113" i="10"/>
  <c r="I114" i="10"/>
  <c r="I87" i="10"/>
  <c r="I86" i="10"/>
  <c r="I85" i="10"/>
  <c r="I84" i="10"/>
  <c r="I74" i="10"/>
  <c r="I75" i="10"/>
  <c r="I76" i="10"/>
  <c r="I31" i="7"/>
  <c r="I29" i="7"/>
  <c r="I13" i="7"/>
  <c r="I10" i="7"/>
  <c r="I24" i="7" l="1"/>
  <c r="F25" i="7"/>
  <c r="I25" i="7" s="1"/>
  <c r="I112" i="10" l="1"/>
  <c r="I109" i="10"/>
  <c r="I106" i="10"/>
  <c r="I103" i="10"/>
  <c r="F49" i="10"/>
  <c r="I28" i="7" l="1"/>
  <c r="I91" i="10" l="1"/>
  <c r="I79" i="10"/>
  <c r="I71" i="10"/>
  <c r="I70" i="10"/>
  <c r="I68" i="10"/>
  <c r="I63" i="10"/>
  <c r="I61" i="10"/>
  <c r="I59" i="10"/>
  <c r="I57" i="10"/>
  <c r="I54" i="10"/>
  <c r="I43" i="10"/>
  <c r="I41" i="10"/>
  <c r="I36" i="10"/>
  <c r="I29" i="10"/>
  <c r="I27" i="10"/>
  <c r="I23" i="10"/>
  <c r="I17" i="10"/>
  <c r="I12" i="10"/>
  <c r="I11" i="10"/>
  <c r="I100" i="10"/>
  <c r="I97" i="10"/>
  <c r="I94" i="10"/>
  <c r="I83" i="10"/>
  <c r="I82" i="10"/>
  <c r="I81" i="10"/>
  <c r="I80" i="10"/>
  <c r="I78" i="10"/>
  <c r="I77" i="10"/>
  <c r="I73" i="10"/>
  <c r="I72" i="10"/>
  <c r="I69" i="10"/>
  <c r="I67" i="10"/>
  <c r="I66" i="10"/>
  <c r="I65" i="10"/>
  <c r="I64" i="10"/>
  <c r="I60" i="10"/>
  <c r="I58" i="10"/>
  <c r="F56" i="10"/>
  <c r="I56" i="10" s="1"/>
  <c r="I55" i="10"/>
  <c r="I53" i="10"/>
  <c r="F50" i="10"/>
  <c r="I50" i="10" s="1"/>
  <c r="I49" i="10"/>
  <c r="I48" i="10"/>
  <c r="I47" i="10"/>
  <c r="I46" i="10"/>
  <c r="I45" i="10"/>
  <c r="I44" i="10"/>
  <c r="I42" i="10"/>
  <c r="F40" i="10"/>
  <c r="I40" i="10" s="1"/>
  <c r="I39" i="10"/>
  <c r="I38" i="10"/>
  <c r="I37" i="10"/>
  <c r="I31" i="10"/>
  <c r="I30" i="10"/>
  <c r="I28" i="10"/>
  <c r="I26" i="10"/>
  <c r="I25" i="10"/>
  <c r="I24" i="10"/>
  <c r="I22" i="10"/>
  <c r="I21" i="10"/>
  <c r="I20" i="10"/>
  <c r="I19" i="10"/>
  <c r="I18" i="10"/>
  <c r="I16" i="10"/>
  <c r="I15" i="10"/>
  <c r="I14" i="10"/>
  <c r="I13" i="10"/>
  <c r="I10" i="10"/>
  <c r="I9" i="10"/>
  <c r="I8" i="10"/>
  <c r="I115" i="10" s="1"/>
  <c r="F19" i="7" l="1"/>
  <c r="I9" i="7" l="1"/>
  <c r="I32" i="7" l="1"/>
  <c r="F6" i="7" l="1"/>
  <c r="I18" i="7" l="1"/>
  <c r="I36" i="7"/>
  <c r="I38" i="7"/>
  <c r="I33" i="7"/>
  <c r="I20" i="7" l="1"/>
  <c r="I16" i="7" l="1"/>
  <c r="I27" i="7" l="1"/>
  <c r="I8" i="7" l="1"/>
  <c r="I35" i="7" l="1"/>
  <c r="I37" i="7"/>
  <c r="I34" i="7" l="1"/>
  <c r="I21" i="7"/>
  <c r="I19" i="7"/>
  <c r="I7" i="7"/>
  <c r="I6" i="7"/>
  <c r="I39" i="7" l="1"/>
  <c r="I12" i="5" l="1"/>
  <c r="I11" i="5"/>
  <c r="I13" i="5" l="1"/>
</calcChain>
</file>

<file path=xl/sharedStrings.xml><?xml version="1.0" encoding="utf-8"?>
<sst xmlns="http://schemas.openxmlformats.org/spreadsheetml/2006/main" count="630" uniqueCount="291">
  <si>
    <t xml:space="preserve">No. </t>
  </si>
  <si>
    <t>DESCRIPCION</t>
  </si>
  <si>
    <t>CANTIDAD</t>
  </si>
  <si>
    <t>U/D</t>
  </si>
  <si>
    <t>GLS</t>
  </si>
  <si>
    <t>CUBETAS PLASTICAS</t>
  </si>
  <si>
    <t>PAQT.</t>
  </si>
  <si>
    <t xml:space="preserve">CLIPS PEQUEÑOS </t>
  </si>
  <si>
    <t xml:space="preserve">DISPENSADOR DE CINTAS </t>
  </si>
  <si>
    <t>FOLDER PENTA FLEX 8 1/2 X 14 1/25</t>
  </si>
  <si>
    <t>GANCHO DE CARPETA MACHO Y HEMBRA</t>
  </si>
  <si>
    <t xml:space="preserve">GRAPAS GRANDES </t>
  </si>
  <si>
    <t>PORTA LAPIZ</t>
  </si>
  <si>
    <t>CORBATAS NEGRA</t>
  </si>
  <si>
    <t>CAJAS</t>
  </si>
  <si>
    <t>RESMA</t>
  </si>
  <si>
    <t>PRECIOS UNIT.</t>
  </si>
  <si>
    <t>TOTAL CANT.</t>
  </si>
  <si>
    <t>TOTAL FINAL $</t>
  </si>
  <si>
    <t>FECHA DE ADQUISICION /  REGISTRO</t>
  </si>
  <si>
    <t>FECHA ADQUISICION /  REGISTRO</t>
  </si>
  <si>
    <t xml:space="preserve">CHAMACOS GRIS CON SU GORRAS </t>
  </si>
  <si>
    <t>PRECIO UNITARIO</t>
  </si>
  <si>
    <t>BOLIGRAFOS AZUL</t>
  </si>
  <si>
    <t>REGLA 12"</t>
  </si>
  <si>
    <t xml:space="preserve">PORTA CARPETAS PARA TALONARIOS </t>
  </si>
  <si>
    <t>DIRECCION GENERAL DE SEGURIDAD Y TRANSITO DE TRANSPORTE TERRESTRE</t>
  </si>
  <si>
    <t>PRECIO UD</t>
  </si>
  <si>
    <t>PAPEL PLOTERS 11X17</t>
  </si>
  <si>
    <t>LAPIZ</t>
  </si>
  <si>
    <t xml:space="preserve">PANTALONES VERDE OLIVO CON FRANJAS REFLECTIVAS </t>
  </si>
  <si>
    <t xml:space="preserve">                                                          </t>
  </si>
  <si>
    <t>CLIPS GRANDES</t>
  </si>
  <si>
    <t>RESALTADORES V/COLORES</t>
  </si>
  <si>
    <t>TIJERAS</t>
  </si>
  <si>
    <t>CLIPS BILLETEROS GRAND.</t>
  </si>
  <si>
    <t>SACAPUNTAS</t>
  </si>
  <si>
    <t>GRAPADORA GRANDE</t>
  </si>
  <si>
    <t xml:space="preserve">PORTA CLIP </t>
  </si>
  <si>
    <t xml:space="preserve">CINTA DE EMPAQUE </t>
  </si>
  <si>
    <t>POSTIT GRANDE 3X5</t>
  </si>
  <si>
    <t>CLORO</t>
  </si>
  <si>
    <t xml:space="preserve">CHALECOS MULTIUSOS </t>
  </si>
  <si>
    <t>LIBRETA RAYADA 5*8</t>
  </si>
  <si>
    <t xml:space="preserve"> 27/12/2019</t>
  </si>
  <si>
    <t xml:space="preserve">TALONARIOS SALIDA  DE ALMACEN </t>
  </si>
  <si>
    <t>VASOS No. 7</t>
  </si>
  <si>
    <t>GEL ANTIBACTERIAL</t>
  </si>
  <si>
    <t>TALONARIOS DE PEDIDO DE ALMACEN</t>
  </si>
  <si>
    <t>CORREAS NYLON NEGRA SIN HEBILLA</t>
  </si>
  <si>
    <t xml:space="preserve">TINTA PARA  SELLOS </t>
  </si>
  <si>
    <t xml:space="preserve">SUAPER </t>
  </si>
  <si>
    <t>GUANTES DE LIMPIEZA</t>
  </si>
  <si>
    <t>PAR</t>
  </si>
  <si>
    <t>FUNDAS NEGRAS 55 GL</t>
  </si>
  <si>
    <t>DESINFECTANTE EN SPRAY</t>
  </si>
  <si>
    <t>ZAFACON DE BANO</t>
  </si>
  <si>
    <t xml:space="preserve">RECOGEDOR DE BASURA </t>
  </si>
  <si>
    <t>ESCOBILLAS DE INODORO</t>
  </si>
  <si>
    <t xml:space="preserve">ALCOHOL ISOPROPILICO </t>
  </si>
  <si>
    <t>SOBRES TIMBRADO NO. 10</t>
  </si>
  <si>
    <t>CLIP NO.1</t>
  </si>
  <si>
    <t>CLIP BILLETERO NO.1</t>
  </si>
  <si>
    <t>CLIP BILLETERO NO.2</t>
  </si>
  <si>
    <t xml:space="preserve">CHINCHETAS </t>
  </si>
  <si>
    <t>PERFORADORA DE DOS HOYOS</t>
  </si>
  <si>
    <t>PERFORADORA DE TRES HOYOS</t>
  </si>
  <si>
    <t xml:space="preserve">ARGOLLAS </t>
  </si>
  <si>
    <t>LIBRETAS DE APUNTES T/AGENDA</t>
  </si>
  <si>
    <t>BOLIGRAFOS EN GEL</t>
  </si>
  <si>
    <t xml:space="preserve">TONER HP CE285A </t>
  </si>
  <si>
    <t xml:space="preserve">TONER HP CF217A </t>
  </si>
  <si>
    <t xml:space="preserve">TONER HP CF283A </t>
  </si>
  <si>
    <t xml:space="preserve">TONER HP CB2435A </t>
  </si>
  <si>
    <t xml:space="preserve">TONER HP CF280A </t>
  </si>
  <si>
    <t xml:space="preserve">TINTA EPSON T544 BLACK  </t>
  </si>
  <si>
    <t xml:space="preserve">TINTA EPSON T544 CYAN  </t>
  </si>
  <si>
    <t xml:space="preserve">TINTA EPSON T544 YELLOW </t>
  </si>
  <si>
    <t>TINTA EPSON T544 MAGENTA</t>
  </si>
  <si>
    <t xml:space="preserve">TINTA EPSON T664 BLACK </t>
  </si>
  <si>
    <t>TINTA EPSON T664 CYAN</t>
  </si>
  <si>
    <t>TINTA EPSON T664  MAGENTA</t>
  </si>
  <si>
    <t>TINTA EPSON T664  YELLOW</t>
  </si>
  <si>
    <t>No.</t>
  </si>
  <si>
    <t>FECHA DE ADQUISICION Y REGISTRO</t>
  </si>
  <si>
    <t>JUEGO DE CUBRE COLCHON Y FORRO DE ALMOHADAS</t>
  </si>
  <si>
    <t>ALMOHADAS RELLENA CON GOMA ESPUMA</t>
  </si>
  <si>
    <t xml:space="preserve"> INVENTARIO MATERIALES DE LIMPIEZA</t>
  </si>
  <si>
    <t xml:space="preserve"> INVENTARIO MATERIALES DE OFICINA</t>
  </si>
  <si>
    <t xml:space="preserve"> INVENTARIO PRENDAS DE VESTIR </t>
  </si>
  <si>
    <t xml:space="preserve"> INVENTARIO DE PRODUCTOS DE SALUD  </t>
  </si>
  <si>
    <t>CODIGO INST.</t>
  </si>
  <si>
    <t>01029</t>
  </si>
  <si>
    <t>01031</t>
  </si>
  <si>
    <t>01032</t>
  </si>
  <si>
    <t>FECHA DE  REGISTRO</t>
  </si>
  <si>
    <t>01005</t>
  </si>
  <si>
    <t>01024</t>
  </si>
  <si>
    <t>01016</t>
  </si>
  <si>
    <t>01030</t>
  </si>
  <si>
    <t>01033</t>
  </si>
  <si>
    <t>01010</t>
  </si>
  <si>
    <t>01017</t>
  </si>
  <si>
    <t>01020</t>
  </si>
  <si>
    <t>01021</t>
  </si>
  <si>
    <t>02092</t>
  </si>
  <si>
    <t>02106</t>
  </si>
  <si>
    <t>02003</t>
  </si>
  <si>
    <t>02108</t>
  </si>
  <si>
    <t>02009</t>
  </si>
  <si>
    <t>02010</t>
  </si>
  <si>
    <t>02096</t>
  </si>
  <si>
    <t>02118</t>
  </si>
  <si>
    <t>02119</t>
  </si>
  <si>
    <t>02028</t>
  </si>
  <si>
    <t>02029</t>
  </si>
  <si>
    <t>02120</t>
  </si>
  <si>
    <t>02031</t>
  </si>
  <si>
    <t>02121</t>
  </si>
  <si>
    <t>02033</t>
  </si>
  <si>
    <t>02037</t>
  </si>
  <si>
    <t>02039</t>
  </si>
  <si>
    <t>02098</t>
  </si>
  <si>
    <t>02042</t>
  </si>
  <si>
    <t>02044</t>
  </si>
  <si>
    <t>02126</t>
  </si>
  <si>
    <t>02045</t>
  </si>
  <si>
    <t>02046</t>
  </si>
  <si>
    <t>02129</t>
  </si>
  <si>
    <t>02049</t>
  </si>
  <si>
    <t>02130</t>
  </si>
  <si>
    <t>02131</t>
  </si>
  <si>
    <t>02100</t>
  </si>
  <si>
    <t>02056</t>
  </si>
  <si>
    <t>02057</t>
  </si>
  <si>
    <t>02059</t>
  </si>
  <si>
    <t>02060</t>
  </si>
  <si>
    <t>02061</t>
  </si>
  <si>
    <t>02134</t>
  </si>
  <si>
    <t>02066</t>
  </si>
  <si>
    <t>02067</t>
  </si>
  <si>
    <t>02102</t>
  </si>
  <si>
    <t>02068</t>
  </si>
  <si>
    <t>02136</t>
  </si>
  <si>
    <t>02137</t>
  </si>
  <si>
    <t>02138</t>
  </si>
  <si>
    <t>02140</t>
  </si>
  <si>
    <t>02141</t>
  </si>
  <si>
    <t>02143</t>
  </si>
  <si>
    <t>02144</t>
  </si>
  <si>
    <t>02145</t>
  </si>
  <si>
    <t>02146</t>
  </si>
  <si>
    <t>02147</t>
  </si>
  <si>
    <t>02148</t>
  </si>
  <si>
    <t>02149</t>
  </si>
  <si>
    <t>CAMISETAS COLOR BLANCO</t>
  </si>
  <si>
    <t>03005</t>
  </si>
  <si>
    <t>03038</t>
  </si>
  <si>
    <t>CINTURONES CON SUS ACCESORIAS</t>
  </si>
  <si>
    <t>03015</t>
  </si>
  <si>
    <t>03016</t>
  </si>
  <si>
    <t>03035</t>
  </si>
  <si>
    <t>03037</t>
  </si>
  <si>
    <t>03020</t>
  </si>
  <si>
    <t>03027</t>
  </si>
  <si>
    <t>03032</t>
  </si>
  <si>
    <t>03002</t>
  </si>
  <si>
    <t>03018</t>
  </si>
  <si>
    <t>03040</t>
  </si>
  <si>
    <t>03022</t>
  </si>
  <si>
    <t xml:space="preserve">                                                    </t>
  </si>
  <si>
    <t>LIBRETAS RAYADAS 8 1/2 X 11</t>
  </si>
  <si>
    <t>PAPEL PLOTERS 24 x 150´´</t>
  </si>
  <si>
    <t>PAPEL PLOTERS 36 x 150´´</t>
  </si>
  <si>
    <t>02053</t>
  </si>
  <si>
    <t>PAPEL BOND 8 1/2 X 14 BLANCO</t>
  </si>
  <si>
    <t>TINTA 51 BLACK</t>
  </si>
  <si>
    <t>02154</t>
  </si>
  <si>
    <t>02155</t>
  </si>
  <si>
    <t>02156</t>
  </si>
  <si>
    <t>02157</t>
  </si>
  <si>
    <t>TINTA 51 CYAN</t>
  </si>
  <si>
    <t>TINTA 52 YELLOW</t>
  </si>
  <si>
    <t>TINTA 52 MAGENTA</t>
  </si>
  <si>
    <t>KIT DE BENGALAS REFLECTIVAS</t>
  </si>
  <si>
    <t>CONOS CON LOGO DIGESETT</t>
  </si>
  <si>
    <t>FRAZADA DE LANA TIPO MILITAR</t>
  </si>
  <si>
    <t>BANDERAS INSTITUCIONALES 4 X 6 (GRANDE)</t>
  </si>
  <si>
    <t>GUANTES REFLECTIVOS</t>
  </si>
  <si>
    <t>CORREAS NYLON NEGRA CON HEBILLA</t>
  </si>
  <si>
    <t>LIMPIADOR DE CERAMICA</t>
  </si>
  <si>
    <t>DETERGENTE EN POLVO</t>
  </si>
  <si>
    <t>JABON LIQUIDO</t>
  </si>
  <si>
    <t>LANILLA</t>
  </si>
  <si>
    <t>YD</t>
  </si>
  <si>
    <t>DESINFECTANTE LIQUIDO</t>
  </si>
  <si>
    <t xml:space="preserve">MARCADORES </t>
  </si>
  <si>
    <t>ROLLO DE PAPEL SUMADORA</t>
  </si>
  <si>
    <t>GOMAS ELASTICAS</t>
  </si>
  <si>
    <t>TABLA DE CHEQUEO</t>
  </si>
  <si>
    <t>GRAPA 0.25</t>
  </si>
  <si>
    <t>BANDEJA DE ESCRITORIO</t>
  </si>
  <si>
    <t>CERA PARA CONTAR</t>
  </si>
  <si>
    <t>01027</t>
  </si>
  <si>
    <t>01026</t>
  </si>
  <si>
    <t>03014</t>
  </si>
  <si>
    <t>03036</t>
  </si>
  <si>
    <t>03044</t>
  </si>
  <si>
    <t>03045</t>
  </si>
  <si>
    <t>02002</t>
  </si>
  <si>
    <t>02135</t>
  </si>
  <si>
    <t>02054</t>
  </si>
  <si>
    <t>02142</t>
  </si>
  <si>
    <t>02163</t>
  </si>
  <si>
    <t>02093</t>
  </si>
  <si>
    <t>SACO</t>
  </si>
  <si>
    <t>03048</t>
  </si>
  <si>
    <t>ROLLO</t>
  </si>
  <si>
    <t>01003</t>
  </si>
  <si>
    <t>CEPILLO DE PARED</t>
  </si>
  <si>
    <t>BRILLO VERDE</t>
  </si>
  <si>
    <t>ESCOBA PLASTICA CON PALO DE MD.</t>
  </si>
  <si>
    <t>01004</t>
  </si>
  <si>
    <t>01025</t>
  </si>
  <si>
    <t>01028</t>
  </si>
  <si>
    <t>01034</t>
  </si>
  <si>
    <t>03019</t>
  </si>
  <si>
    <t>PAPEL TOALLA 6/1</t>
  </si>
  <si>
    <t xml:space="preserve">SOGA DE NYLON 10MM, VARIOS COLORES </t>
  </si>
  <si>
    <t xml:space="preserve">BORRAS </t>
  </si>
  <si>
    <t>CAJA</t>
  </si>
  <si>
    <t xml:space="preserve">ARCHIVO ACORDEON 8 1/2 X 11 </t>
  </si>
  <si>
    <t>LABEL ADHESIVO PARA FOLDER 10/1</t>
  </si>
  <si>
    <t>02160</t>
  </si>
  <si>
    <t>CAMISAS MANGA CORTA</t>
  </si>
  <si>
    <t>01040</t>
  </si>
  <si>
    <t>PAPEL HIGIENICO 6/1</t>
  </si>
  <si>
    <t>BRILLO VERDE 10/1</t>
  </si>
  <si>
    <t>BINDER NO. 10 COLOR VERDE</t>
  </si>
  <si>
    <t>02109</t>
  </si>
  <si>
    <t>03009</t>
  </si>
  <si>
    <t>02094</t>
  </si>
  <si>
    <t>NOVAS MEDINA, DAIRYS M.</t>
  </si>
  <si>
    <t>BANDERAS NACIONAL 4 X 6 (GRANDE)</t>
  </si>
  <si>
    <t>03004</t>
  </si>
  <si>
    <t>03026</t>
  </si>
  <si>
    <t>OVEROL DIGESETT PARA GRUEROS</t>
  </si>
  <si>
    <t>BOTAS TIPO POLICIAL O MILITAR</t>
  </si>
  <si>
    <t>PITO CON PORTA PITO Y CADENA PARA PITO</t>
  </si>
  <si>
    <t>TONER HP 278</t>
  </si>
  <si>
    <t>CARTUCHO CYAN(4836A)</t>
  </si>
  <si>
    <t>CARTUCHO MARGETA(4837A)</t>
  </si>
  <si>
    <t>CARTUCHO YELLOW(4838A)</t>
  </si>
  <si>
    <t>FOLDERS MANILA 8 1/2 X 11   1/100</t>
  </si>
  <si>
    <t>FOLDERS MANILA 8 1/2 X 14   1/100</t>
  </si>
  <si>
    <t>FOLDERS PARTITION DE 6 DIV. AZUL 1/16</t>
  </si>
  <si>
    <t>FOLDERS PARTITION DE 6 DIV. ROJO 1/17</t>
  </si>
  <si>
    <t>CAPA DE LLUVIA, AMARILLA FLURORECENTES</t>
  </si>
  <si>
    <t>AMBIENTADOR EN SPRAY</t>
  </si>
  <si>
    <t>ZAFACON DE OFICINA</t>
  </si>
  <si>
    <t>03008</t>
  </si>
  <si>
    <t>03011</t>
  </si>
  <si>
    <t>01023</t>
  </si>
  <si>
    <t>02139</t>
  </si>
  <si>
    <t>02124</t>
  </si>
  <si>
    <t>02125</t>
  </si>
  <si>
    <t>02122</t>
  </si>
  <si>
    <t>02011</t>
  </si>
  <si>
    <t>03039</t>
  </si>
  <si>
    <t>ARCHIVO ACORDEON 8 1/2 X 14</t>
  </si>
  <si>
    <t>_____________________________</t>
  </si>
  <si>
    <t xml:space="preserve">Lic. JENNIFFER DE LOS SANTOS BONILLA </t>
  </si>
  <si>
    <t>1er., Teniente, P.N.</t>
  </si>
  <si>
    <t>Enc. Division de Almacen y Suministro, DIGESETT.</t>
  </si>
  <si>
    <t>BOTAS TIPO MOTORIZADAS ALTAS</t>
  </si>
  <si>
    <t>02052</t>
  </si>
  <si>
    <t>PAPEL BOND 8 1/2 X 11 BLANCO</t>
  </si>
  <si>
    <t>02058</t>
  </si>
  <si>
    <t>CINTA ADHESIVA</t>
  </si>
  <si>
    <t>GORRAS VERDES DIGESETT</t>
  </si>
  <si>
    <t xml:space="preserve">CHALECOS REFLECTIVO </t>
  </si>
  <si>
    <t>POSTIT MEDIANO 3X3</t>
  </si>
  <si>
    <t xml:space="preserve">LANILLA DE ALGODÓN </t>
  </si>
  <si>
    <t>PAPEL TOALLA JUMBO 6/1</t>
  </si>
  <si>
    <t xml:space="preserve">CLORO </t>
  </si>
  <si>
    <t>DESGRASANTE</t>
  </si>
  <si>
    <t>GAL</t>
  </si>
  <si>
    <t xml:space="preserve">JABON LIQUIDO </t>
  </si>
  <si>
    <t xml:space="preserve">CAMISAS MANGAS LARGAS </t>
  </si>
  <si>
    <t>03010</t>
  </si>
  <si>
    <t>DESDE EL 1 DE ABRIL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</si>
</sst>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XDR&quot;* #,##0.00_-;\-&quot;XDR&quot;* #,##0.00_-;_-&quot;XDR&quot;* &quot;-&quot;??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\ _€_-;\-* #,##0.0\ _€_-;_-* &quot;-&quot;??\ _€_-;_-@_-"/>
    <numFmt numFmtId="169" formatCode="ddd\-dd\-mmm\-yyyy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u/>
      <sz val="9"/>
      <name val="Times New Roman"/>
      <family val="1"/>
    </font>
    <font>
      <sz val="10"/>
      <color theme="1"/>
      <name val="Times New Roman"/>
      <family val="1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0" fontId="14" fillId="0" borderId="0"/>
    <xf numFmtId="0" fontId="14" fillId="0" borderId="0"/>
    <xf numFmtId="164" fontId="4" fillId="0" borderId="0" applyFont="0" applyFill="0" applyBorder="0" applyAlignment="0" applyProtection="0"/>
  </cellStyleXfs>
  <cellXfs count="17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166" fontId="5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66" fontId="7" fillId="2" borderId="2" xfId="1" applyFont="1" applyFill="1" applyBorder="1" applyAlignment="1">
      <alignment horizontal="center" vertical="center"/>
    </xf>
    <xf numFmtId="0" fontId="10" fillId="2" borderId="0" xfId="0" applyFont="1" applyFill="1"/>
    <xf numFmtId="0" fontId="6" fillId="0" borderId="0" xfId="0" applyFont="1" applyBorder="1"/>
    <xf numFmtId="166" fontId="7" fillId="2" borderId="1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6" fontId="7" fillId="2" borderId="1" xfId="1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5" xfId="0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/>
    <xf numFmtId="166" fontId="7" fillId="2" borderId="5" xfId="1" applyFont="1" applyFill="1" applyBorder="1"/>
    <xf numFmtId="166" fontId="7" fillId="2" borderId="5" xfId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3" fontId="7" fillId="2" borderId="0" xfId="0" applyNumberFormat="1" applyFont="1" applyFill="1"/>
    <xf numFmtId="0" fontId="6" fillId="2" borderId="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43" fontId="3" fillId="2" borderId="0" xfId="0" applyNumberFormat="1" applyFont="1" applyFill="1"/>
    <xf numFmtId="0" fontId="13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6" fontId="6" fillId="0" borderId="0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6" fontId="6" fillId="0" borderId="1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0" fontId="3" fillId="0" borderId="2" xfId="0" applyFont="1" applyFill="1" applyBorder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8" fillId="0" borderId="0" xfId="0" applyFont="1"/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10" fillId="2" borderId="0" xfId="0" applyNumberFormat="1" applyFont="1" applyFill="1"/>
    <xf numFmtId="166" fontId="6" fillId="2" borderId="4" xfId="0" applyNumberFormat="1" applyFont="1" applyFill="1" applyBorder="1" applyAlignment="1"/>
    <xf numFmtId="166" fontId="6" fillId="2" borderId="4" xfId="0" applyNumberFormat="1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6" fontId="7" fillId="0" borderId="0" xfId="1" applyFont="1" applyFill="1" applyBorder="1" applyAlignment="1">
      <alignment horizontal="center" vertical="center"/>
    </xf>
    <xf numFmtId="166" fontId="7" fillId="0" borderId="0" xfId="1" applyFont="1" applyFill="1" applyBorder="1"/>
    <xf numFmtId="0" fontId="3" fillId="0" borderId="0" xfId="0" applyFont="1" applyFill="1" applyBorder="1"/>
    <xf numFmtId="166" fontId="0" fillId="0" borderId="0" xfId="0" applyNumberFormat="1" applyFill="1" applyBorder="1"/>
    <xf numFmtId="0" fontId="16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169" fontId="19" fillId="2" borderId="0" xfId="3" applyNumberFormat="1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166" fontId="5" fillId="0" borderId="0" xfId="0" applyNumberFormat="1" applyFont="1" applyBorder="1"/>
    <xf numFmtId="0" fontId="0" fillId="0" borderId="0" xfId="0" applyAlignment="1"/>
    <xf numFmtId="0" fontId="5" fillId="0" borderId="0" xfId="0" applyFont="1" applyAlignment="1"/>
    <xf numFmtId="0" fontId="3" fillId="0" borderId="0" xfId="0" applyFont="1" applyFill="1" applyAlignment="1"/>
    <xf numFmtId="0" fontId="6" fillId="2" borderId="0" xfId="0" applyFont="1" applyFill="1" applyBorder="1"/>
    <xf numFmtId="166" fontId="6" fillId="2" borderId="0" xfId="0" applyNumberFormat="1" applyFont="1" applyFill="1" applyBorder="1" applyAlignment="1"/>
    <xf numFmtId="0" fontId="15" fillId="2" borderId="0" xfId="2" applyFont="1" applyFill="1" applyBorder="1" applyAlignment="1"/>
    <xf numFmtId="169" fontId="19" fillId="2" borderId="0" xfId="3" applyNumberFormat="1" applyFont="1" applyFill="1" applyBorder="1" applyAlignment="1">
      <alignment horizont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166" fontId="6" fillId="2" borderId="0" xfId="0" applyNumberFormat="1" applyFont="1" applyFill="1" applyBorder="1"/>
    <xf numFmtId="0" fontId="3" fillId="0" borderId="0" xfId="0" applyFont="1" applyAlignment="1"/>
    <xf numFmtId="0" fontId="10" fillId="0" borderId="0" xfId="0" applyFont="1"/>
    <xf numFmtId="0" fontId="0" fillId="0" borderId="0" xfId="0" applyAlignment="1">
      <alignment horizontal="center" vertical="center"/>
    </xf>
    <xf numFmtId="43" fontId="9" fillId="2" borderId="0" xfId="0" applyNumberFormat="1" applyFont="1" applyFill="1"/>
    <xf numFmtId="165" fontId="10" fillId="2" borderId="0" xfId="0" applyNumberFormat="1" applyFont="1" applyFill="1"/>
    <xf numFmtId="0" fontId="0" fillId="0" borderId="0" xfId="0" applyAlignment="1">
      <alignment vertical="center"/>
    </xf>
    <xf numFmtId="43" fontId="22" fillId="2" borderId="0" xfId="0" applyNumberFormat="1" applyFont="1" applyFill="1"/>
    <xf numFmtId="0" fontId="23" fillId="2" borderId="0" xfId="0" applyFont="1" applyFill="1"/>
    <xf numFmtId="0" fontId="22" fillId="2" borderId="0" xfId="0" applyFont="1" applyFill="1"/>
    <xf numFmtId="0" fontId="9" fillId="2" borderId="0" xfId="0" applyFont="1" applyFill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1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 vertical="center"/>
    </xf>
    <xf numFmtId="168" fontId="7" fillId="2" borderId="2" xfId="1" applyNumberFormat="1" applyFont="1" applyFill="1" applyBorder="1" applyAlignment="1">
      <alignment horizontal="center" vertical="center"/>
    </xf>
    <xf numFmtId="165" fontId="23" fillId="2" borderId="0" xfId="0" applyNumberFormat="1" applyFont="1" applyFill="1"/>
    <xf numFmtId="0" fontId="0" fillId="2" borderId="0" xfId="0" applyFill="1" applyAlignment="1"/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166" fontId="3" fillId="2" borderId="1" xfId="1" applyFont="1" applyFill="1" applyBorder="1"/>
    <xf numFmtId="167" fontId="7" fillId="2" borderId="2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6" fontId="3" fillId="2" borderId="2" xfId="1" applyFont="1" applyFill="1" applyBorder="1" applyAlignment="1">
      <alignment horizontal="center" vertical="center"/>
    </xf>
    <xf numFmtId="166" fontId="3" fillId="2" borderId="1" xfId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9" fillId="0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8" fillId="2" borderId="2" xfId="0" applyFont="1" applyFill="1" applyBorder="1" applyAlignment="1">
      <alignment horizontal="left" vertical="top"/>
    </xf>
    <xf numFmtId="166" fontId="7" fillId="2" borderId="2" xfId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64" fontId="22" fillId="2" borderId="0" xfId="4" applyFont="1" applyFill="1"/>
    <xf numFmtId="164" fontId="9" fillId="2" borderId="0" xfId="4" applyFont="1" applyFill="1"/>
    <xf numFmtId="164" fontId="9" fillId="2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Border="1"/>
    <xf numFmtId="166" fontId="7" fillId="2" borderId="0" xfId="1" applyFont="1" applyFill="1" applyBorder="1" applyAlignment="1">
      <alignment horizontal="center" vertical="center"/>
    </xf>
    <xf numFmtId="166" fontId="7" fillId="2" borderId="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1" fillId="2" borderId="0" xfId="3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9" fontId="17" fillId="2" borderId="0" xfId="0" applyNumberFormat="1" applyFont="1" applyFill="1" applyBorder="1" applyAlignment="1">
      <alignment horizontal="center"/>
    </xf>
    <xf numFmtId="169" fontId="18" fillId="2" borderId="0" xfId="0" applyNumberFormat="1" applyFont="1" applyFill="1" applyBorder="1" applyAlignment="1">
      <alignment horizontal="center"/>
    </xf>
    <xf numFmtId="169" fontId="18" fillId="2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1" fillId="2" borderId="0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5">
    <cellStyle name="Millares" xfId="1" builtinId="3"/>
    <cellStyle name="Moneda" xfId="4" builtinId="4"/>
    <cellStyle name="Normal" xfId="0" builtinId="0"/>
    <cellStyle name="Normal 2" xfId="2"/>
    <cellStyle name="Normal 2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211665</xdr:rowOff>
    </xdr:from>
    <xdr:to>
      <xdr:col>4</xdr:col>
      <xdr:colOff>1926167</xdr:colOff>
      <xdr:row>0</xdr:row>
      <xdr:rowOff>1534582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11665"/>
          <a:ext cx="1668992" cy="1322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359833</xdr:colOff>
      <xdr:row>0</xdr:row>
      <xdr:rowOff>137585</xdr:rowOff>
    </xdr:from>
    <xdr:to>
      <xdr:col>8</xdr:col>
      <xdr:colOff>930997</xdr:colOff>
      <xdr:row>1</xdr:row>
      <xdr:rowOff>17993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166" y="137585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349322</xdr:colOff>
      <xdr:row>52</xdr:row>
      <xdr:rowOff>19026</xdr:rowOff>
    </xdr:from>
    <xdr:to>
      <xdr:col>4</xdr:col>
      <xdr:colOff>1693898</xdr:colOff>
      <xdr:row>55</xdr:row>
      <xdr:rowOff>172951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354989" y="11904109"/>
          <a:ext cx="1344576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1393896</xdr:colOff>
      <xdr:row>11</xdr:row>
      <xdr:rowOff>124526</xdr:rowOff>
    </xdr:from>
    <xdr:to>
      <xdr:col>4</xdr:col>
      <xdr:colOff>2064974</xdr:colOff>
      <xdr:row>18</xdr:row>
      <xdr:rowOff>146288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739674">
          <a:off x="4031012" y="4408910"/>
          <a:ext cx="1408179" cy="671078"/>
        </a:xfrm>
        <a:prstGeom prst="rect">
          <a:avLst/>
        </a:prstGeom>
      </xdr:spPr>
    </xdr:pic>
    <xdr:clientData/>
  </xdr:twoCellAnchor>
  <xdr:twoCellAnchor editAs="oneCell">
    <xdr:from>
      <xdr:col>4</xdr:col>
      <xdr:colOff>1894417</xdr:colOff>
      <xdr:row>49</xdr:row>
      <xdr:rowOff>137583</xdr:rowOff>
    </xdr:from>
    <xdr:to>
      <xdr:col>7</xdr:col>
      <xdr:colOff>243082</xdr:colOff>
      <xdr:row>57</xdr:row>
      <xdr:rowOff>39158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084" y="11440583"/>
          <a:ext cx="1481331" cy="1457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505883</xdr:colOff>
      <xdr:row>0</xdr:row>
      <xdr:rowOff>152400</xdr:rowOff>
    </xdr:from>
    <xdr:ext cx="1189567" cy="809626"/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833" y="152400"/>
          <a:ext cx="1189567" cy="80962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584081</xdr:colOff>
      <xdr:row>0</xdr:row>
      <xdr:rowOff>33100</xdr:rowOff>
    </xdr:from>
    <xdr:to>
      <xdr:col>8</xdr:col>
      <xdr:colOff>1106383</xdr:colOff>
      <xdr:row>5</xdr:row>
      <xdr:rowOff>95575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881" y="33100"/>
          <a:ext cx="1427177" cy="1405500"/>
        </a:xfrm>
        <a:prstGeom prst="rect">
          <a:avLst/>
        </a:prstGeom>
      </xdr:spPr>
    </xdr:pic>
    <xdr:clientData/>
  </xdr:twoCellAnchor>
  <xdr:twoCellAnchor editAs="oneCell">
    <xdr:from>
      <xdr:col>4</xdr:col>
      <xdr:colOff>447758</xdr:colOff>
      <xdr:row>116</xdr:row>
      <xdr:rowOff>26120</xdr:rowOff>
    </xdr:from>
    <xdr:to>
      <xdr:col>4</xdr:col>
      <xdr:colOff>1782985</xdr:colOff>
      <xdr:row>119</xdr:row>
      <xdr:rowOff>180045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343358" y="19800020"/>
          <a:ext cx="1335227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1222392</xdr:colOff>
      <xdr:row>15</xdr:row>
      <xdr:rowOff>54384</xdr:rowOff>
    </xdr:from>
    <xdr:to>
      <xdr:col>4</xdr:col>
      <xdr:colOff>1800733</xdr:colOff>
      <xdr:row>23</xdr:row>
      <xdr:rowOff>29145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072544">
          <a:off x="3772082" y="3762619"/>
          <a:ext cx="1270161" cy="5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1371818</xdr:colOff>
      <xdr:row>54</xdr:row>
      <xdr:rowOff>73018</xdr:rowOff>
    </xdr:from>
    <xdr:to>
      <xdr:col>4</xdr:col>
      <xdr:colOff>1945336</xdr:colOff>
      <xdr:row>62</xdr:row>
      <xdr:rowOff>80349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657909">
          <a:off x="3902811" y="10115025"/>
          <a:ext cx="1302731" cy="573518"/>
        </a:xfrm>
        <a:prstGeom prst="rect">
          <a:avLst/>
        </a:prstGeom>
      </xdr:spPr>
    </xdr:pic>
    <xdr:clientData/>
  </xdr:twoCellAnchor>
  <xdr:twoCellAnchor editAs="oneCell">
    <xdr:from>
      <xdr:col>4</xdr:col>
      <xdr:colOff>1436064</xdr:colOff>
      <xdr:row>80</xdr:row>
      <xdr:rowOff>68640</xdr:rowOff>
    </xdr:from>
    <xdr:to>
      <xdr:col>4</xdr:col>
      <xdr:colOff>1984285</xdr:colOff>
      <xdr:row>88</xdr:row>
      <xdr:rowOff>44506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713568">
          <a:off x="3970142" y="14317612"/>
          <a:ext cx="1271266" cy="548221"/>
        </a:xfrm>
        <a:prstGeom prst="rect">
          <a:avLst/>
        </a:prstGeom>
      </xdr:spPr>
    </xdr:pic>
    <xdr:clientData/>
  </xdr:twoCellAnchor>
  <xdr:twoCellAnchor editAs="oneCell">
    <xdr:from>
      <xdr:col>4</xdr:col>
      <xdr:colOff>1866900</xdr:colOff>
      <xdr:row>113</xdr:row>
      <xdr:rowOff>142875</xdr:rowOff>
    </xdr:from>
    <xdr:to>
      <xdr:col>7</xdr:col>
      <xdr:colOff>169877</xdr:colOff>
      <xdr:row>121</xdr:row>
      <xdr:rowOff>52950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9373850"/>
          <a:ext cx="1427177" cy="1405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590551</xdr:colOff>
      <xdr:row>0</xdr:row>
      <xdr:rowOff>31750</xdr:rowOff>
    </xdr:from>
    <xdr:to>
      <xdr:col>4</xdr:col>
      <xdr:colOff>2095500</xdr:colOff>
      <xdr:row>0</xdr:row>
      <xdr:rowOff>1203326</xdr:rowOff>
    </xdr:to>
    <xdr:pic>
      <xdr:nvPicPr>
        <xdr:cNvPr id="2" name="Imagen 1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31750"/>
          <a:ext cx="1504949" cy="11715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529167</xdr:colOff>
      <xdr:row>0</xdr:row>
      <xdr:rowOff>91701</xdr:rowOff>
    </xdr:from>
    <xdr:to>
      <xdr:col>8</xdr:col>
      <xdr:colOff>1142664</xdr:colOff>
      <xdr:row>2</xdr:row>
      <xdr:rowOff>99109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91701"/>
          <a:ext cx="1481331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814917</xdr:colOff>
      <xdr:row>40</xdr:row>
      <xdr:rowOff>31748</xdr:rowOff>
    </xdr:from>
    <xdr:to>
      <xdr:col>4</xdr:col>
      <xdr:colOff>2223096</xdr:colOff>
      <xdr:row>43</xdr:row>
      <xdr:rowOff>164506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323167" y="9270998"/>
          <a:ext cx="1408179" cy="72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1911815</xdr:colOff>
      <xdr:row>18</xdr:row>
      <xdr:rowOff>152189</xdr:rowOff>
    </xdr:from>
    <xdr:to>
      <xdr:col>4</xdr:col>
      <xdr:colOff>2493189</xdr:colOff>
      <xdr:row>25</xdr:row>
      <xdr:rowOff>98547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223113">
          <a:off x="4065531" y="4972890"/>
          <a:ext cx="1290441" cy="581374"/>
        </a:xfrm>
        <a:prstGeom prst="rect">
          <a:avLst/>
        </a:prstGeom>
      </xdr:spPr>
    </xdr:pic>
    <xdr:clientData/>
  </xdr:twoCellAnchor>
  <xdr:twoCellAnchor editAs="oneCell">
    <xdr:from>
      <xdr:col>4</xdr:col>
      <xdr:colOff>2180167</xdr:colOff>
      <xdr:row>37</xdr:row>
      <xdr:rowOff>190498</xdr:rowOff>
    </xdr:from>
    <xdr:to>
      <xdr:col>7</xdr:col>
      <xdr:colOff>285415</xdr:colOff>
      <xdr:row>44</xdr:row>
      <xdr:rowOff>187323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8417" y="8752415"/>
          <a:ext cx="1481331" cy="1457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76200</xdr:rowOff>
    </xdr:from>
    <xdr:to>
      <xdr:col>5</xdr:col>
      <xdr:colOff>47625</xdr:colOff>
      <xdr:row>5</xdr:row>
      <xdr:rowOff>152400</xdr:rowOff>
    </xdr:to>
    <xdr:pic>
      <xdr:nvPicPr>
        <xdr:cNvPr id="3" name="Imagen 2" descr="C:\Users\i.santiago\Desktop\Logo-DIGESETT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6200"/>
          <a:ext cx="141922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631308</xdr:colOff>
      <xdr:row>0</xdr:row>
      <xdr:rowOff>50444</xdr:rowOff>
    </xdr:from>
    <xdr:to>
      <xdr:col>8</xdr:col>
      <xdr:colOff>1018052</xdr:colOff>
      <xdr:row>7</xdr:row>
      <xdr:rowOff>53063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7783" y="50444"/>
          <a:ext cx="1424969" cy="138374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266783</xdr:colOff>
      <xdr:row>14</xdr:row>
      <xdr:rowOff>64263</xdr:rowOff>
    </xdr:from>
    <xdr:to>
      <xdr:col>4</xdr:col>
      <xdr:colOff>1603291</xdr:colOff>
      <xdr:row>18</xdr:row>
      <xdr:rowOff>27688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1613">
          <a:off x="3410033" y="3226563"/>
          <a:ext cx="1336508" cy="72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="90" zoomScaleNormal="90" workbookViewId="0">
      <selection activeCell="I63" sqref="I63"/>
    </sheetView>
  </sheetViews>
  <sheetFormatPr baseColWidth="10" defaultRowHeight="15" x14ac:dyDescent="0.25"/>
  <cols>
    <col min="1" max="1" width="7" customWidth="1"/>
    <col min="2" max="2" width="14.7109375" customWidth="1"/>
    <col min="3" max="3" width="12.140625" customWidth="1"/>
    <col min="4" max="4" width="11.140625" customWidth="1"/>
    <col min="5" max="5" width="31.7109375" customWidth="1"/>
    <col min="6" max="6" width="6.85546875" customWidth="1"/>
    <col min="7" max="7" width="8.42578125" customWidth="1"/>
    <col min="8" max="8" width="13.5703125" customWidth="1"/>
    <col min="9" max="9" width="17.85546875" customWidth="1"/>
  </cols>
  <sheetData>
    <row r="1" spans="1:10" ht="123.7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</row>
    <row r="2" spans="1:10" ht="21" x14ac:dyDescent="0.35">
      <c r="A2" s="143" t="s">
        <v>26</v>
      </c>
      <c r="B2" s="143"/>
      <c r="C2" s="143"/>
      <c r="D2" s="143"/>
      <c r="E2" s="143"/>
      <c r="F2" s="143"/>
      <c r="G2" s="143"/>
      <c r="H2" s="143"/>
      <c r="I2" s="143"/>
    </row>
    <row r="3" spans="1:10" ht="13.5" customHeight="1" x14ac:dyDescent="0.25">
      <c r="A3" s="144" t="s">
        <v>87</v>
      </c>
      <c r="B3" s="144"/>
      <c r="C3" s="144"/>
      <c r="D3" s="144"/>
      <c r="E3" s="144"/>
      <c r="F3" s="144"/>
      <c r="G3" s="144"/>
      <c r="H3" s="144"/>
      <c r="I3" s="144"/>
      <c r="J3" s="92"/>
    </row>
    <row r="4" spans="1:10" ht="13.5" customHeight="1" x14ac:dyDescent="0.25">
      <c r="A4" s="145" t="s">
        <v>290</v>
      </c>
      <c r="B4" s="145"/>
      <c r="C4" s="145"/>
      <c r="D4" s="145"/>
      <c r="E4" s="145"/>
      <c r="F4" s="145"/>
      <c r="G4" s="145"/>
      <c r="H4" s="145"/>
      <c r="I4" s="145"/>
      <c r="J4" s="92"/>
    </row>
    <row r="5" spans="1:10" ht="38.25" customHeight="1" x14ac:dyDescent="0.25">
      <c r="A5" s="1" t="s">
        <v>0</v>
      </c>
      <c r="B5" s="5" t="s">
        <v>19</v>
      </c>
      <c r="C5" s="5" t="s">
        <v>95</v>
      </c>
      <c r="D5" s="59" t="s">
        <v>91</v>
      </c>
      <c r="E5" s="133" t="s">
        <v>1</v>
      </c>
      <c r="F5" s="146" t="s">
        <v>2</v>
      </c>
      <c r="G5" s="146"/>
      <c r="H5" s="133" t="s">
        <v>27</v>
      </c>
      <c r="I5" s="6" t="s">
        <v>17</v>
      </c>
    </row>
    <row r="6" spans="1:10" s="92" customFormat="1" ht="17.25" customHeight="1" x14ac:dyDescent="0.25">
      <c r="A6" s="135">
        <v>1</v>
      </c>
      <c r="B6" s="109">
        <v>44922</v>
      </c>
      <c r="C6" s="109">
        <v>44922</v>
      </c>
      <c r="D6" s="119" t="s">
        <v>262</v>
      </c>
      <c r="E6" s="136" t="s">
        <v>258</v>
      </c>
      <c r="F6" s="137">
        <f>200-10-24-28-24-10-30</f>
        <v>74</v>
      </c>
      <c r="G6" s="137" t="s">
        <v>3</v>
      </c>
      <c r="H6" s="137">
        <v>115.05</v>
      </c>
      <c r="I6" s="111">
        <f>F6*H6</f>
        <v>8513.6999999999989</v>
      </c>
    </row>
    <row r="7" spans="1:10" s="98" customFormat="1" ht="17.25" customHeight="1" x14ac:dyDescent="0.25">
      <c r="A7" s="135">
        <v>2</v>
      </c>
      <c r="B7" s="109">
        <v>44784</v>
      </c>
      <c r="C7" s="109">
        <v>44784</v>
      </c>
      <c r="D7" s="119" t="s">
        <v>218</v>
      </c>
      <c r="E7" s="120" t="s">
        <v>191</v>
      </c>
      <c r="F7" s="42">
        <f>50-20-9</f>
        <v>21</v>
      </c>
      <c r="G7" s="42" t="s">
        <v>215</v>
      </c>
      <c r="H7" s="42">
        <v>1642.56</v>
      </c>
      <c r="I7" s="111">
        <f>F7*H7</f>
        <v>34493.760000000002</v>
      </c>
    </row>
    <row r="8" spans="1:10" s="92" customFormat="1" ht="14.25" customHeight="1" x14ac:dyDescent="0.25">
      <c r="A8" s="108">
        <v>3</v>
      </c>
      <c r="B8" s="109">
        <v>45105</v>
      </c>
      <c r="C8" s="109">
        <v>45105</v>
      </c>
      <c r="D8" s="119" t="s">
        <v>262</v>
      </c>
      <c r="E8" s="125" t="s">
        <v>258</v>
      </c>
      <c r="F8" s="42">
        <v>100</v>
      </c>
      <c r="G8" s="42" t="s">
        <v>3</v>
      </c>
      <c r="H8" s="42">
        <v>124.018</v>
      </c>
      <c r="I8" s="111">
        <f>F8*H8</f>
        <v>12401.8</v>
      </c>
    </row>
    <row r="9" spans="1:10" s="98" customFormat="1" ht="17.25" customHeight="1" x14ac:dyDescent="0.25">
      <c r="A9" s="135">
        <v>4</v>
      </c>
      <c r="B9" s="109">
        <v>44918</v>
      </c>
      <c r="C9" s="109">
        <v>44918</v>
      </c>
      <c r="D9" s="119" t="s">
        <v>218</v>
      </c>
      <c r="E9" s="120" t="s">
        <v>191</v>
      </c>
      <c r="F9" s="42">
        <v>30</v>
      </c>
      <c r="G9" s="42" t="s">
        <v>215</v>
      </c>
      <c r="H9" s="42">
        <v>1524.56</v>
      </c>
      <c r="I9" s="111">
        <f>F9*H9</f>
        <v>45736.799999999996</v>
      </c>
    </row>
    <row r="10" spans="1:10" s="12" customFormat="1" ht="15.75" x14ac:dyDescent="0.25">
      <c r="A10" s="108">
        <v>5</v>
      </c>
      <c r="B10" s="109">
        <v>44634</v>
      </c>
      <c r="C10" s="109">
        <v>44634</v>
      </c>
      <c r="D10" s="119" t="s">
        <v>225</v>
      </c>
      <c r="E10" s="110" t="s">
        <v>220</v>
      </c>
      <c r="F10" s="108">
        <f>100-1-1-26-16-21-16-2-2-5-1-2-2-2</f>
        <v>3</v>
      </c>
      <c r="G10" s="108" t="s">
        <v>6</v>
      </c>
      <c r="H10" s="111">
        <v>295</v>
      </c>
      <c r="I10" s="111">
        <f t="shared" ref="I10:I50" si="0">F10*H10</f>
        <v>885</v>
      </c>
    </row>
    <row r="11" spans="1:10" s="98" customFormat="1" ht="15.75" x14ac:dyDescent="0.25">
      <c r="A11" s="135">
        <v>6</v>
      </c>
      <c r="B11" s="109">
        <v>44784</v>
      </c>
      <c r="C11" s="109">
        <v>44784</v>
      </c>
      <c r="D11" s="119" t="s">
        <v>225</v>
      </c>
      <c r="E11" s="110" t="s">
        <v>237</v>
      </c>
      <c r="F11" s="108">
        <v>100</v>
      </c>
      <c r="G11" s="108" t="s">
        <v>6</v>
      </c>
      <c r="H11" s="111">
        <v>342.2</v>
      </c>
      <c r="I11" s="111">
        <f t="shared" si="0"/>
        <v>34220</v>
      </c>
    </row>
    <row r="12" spans="1:10" s="98" customFormat="1" ht="15.75" x14ac:dyDescent="0.25">
      <c r="A12" s="108">
        <v>7</v>
      </c>
      <c r="B12" s="109">
        <v>44922</v>
      </c>
      <c r="C12" s="109">
        <v>44922</v>
      </c>
      <c r="D12" s="119" t="s">
        <v>225</v>
      </c>
      <c r="E12" s="110" t="s">
        <v>237</v>
      </c>
      <c r="F12" s="108">
        <v>85</v>
      </c>
      <c r="G12" s="108" t="s">
        <v>6</v>
      </c>
      <c r="H12" s="111">
        <v>62.658000000000001</v>
      </c>
      <c r="I12" s="111">
        <f t="shared" si="0"/>
        <v>5325.93</v>
      </c>
    </row>
    <row r="13" spans="1:10" s="98" customFormat="1" ht="15.75" x14ac:dyDescent="0.25">
      <c r="A13" s="135">
        <v>8</v>
      </c>
      <c r="B13" s="109">
        <v>44634</v>
      </c>
      <c r="C13" s="109">
        <v>44634</v>
      </c>
      <c r="D13" s="119" t="s">
        <v>222</v>
      </c>
      <c r="E13" s="110" t="s">
        <v>219</v>
      </c>
      <c r="F13" s="108">
        <f>100-2-11-7-4-15-2-6-5</f>
        <v>48</v>
      </c>
      <c r="G13" s="108" t="s">
        <v>3</v>
      </c>
      <c r="H13" s="111">
        <v>127.44</v>
      </c>
      <c r="I13" s="111">
        <f t="shared" si="0"/>
        <v>6117.12</v>
      </c>
    </row>
    <row r="14" spans="1:10" s="98" customFormat="1" ht="15.75" x14ac:dyDescent="0.25">
      <c r="A14" s="108">
        <v>9</v>
      </c>
      <c r="B14" s="109">
        <v>44784</v>
      </c>
      <c r="C14" s="109">
        <v>44784</v>
      </c>
      <c r="D14" s="119" t="s">
        <v>222</v>
      </c>
      <c r="E14" s="110" t="s">
        <v>219</v>
      </c>
      <c r="F14" s="108">
        <v>100</v>
      </c>
      <c r="G14" s="108" t="s">
        <v>3</v>
      </c>
      <c r="H14" s="111">
        <v>151.04</v>
      </c>
      <c r="I14" s="111">
        <f t="shared" si="0"/>
        <v>15104</v>
      </c>
    </row>
    <row r="15" spans="1:10" s="12" customFormat="1" ht="15.75" x14ac:dyDescent="0.25">
      <c r="A15" s="135">
        <v>10</v>
      </c>
      <c r="B15" s="109">
        <v>44634</v>
      </c>
      <c r="C15" s="109">
        <v>44634</v>
      </c>
      <c r="D15" s="119" t="s">
        <v>96</v>
      </c>
      <c r="E15" s="110" t="s">
        <v>5</v>
      </c>
      <c r="F15" s="108">
        <f>100-19-5-6-9-5-6</f>
        <v>50</v>
      </c>
      <c r="G15" s="108" t="s">
        <v>3</v>
      </c>
      <c r="H15" s="111">
        <v>371.7</v>
      </c>
      <c r="I15" s="111">
        <f t="shared" si="0"/>
        <v>18585</v>
      </c>
    </row>
    <row r="16" spans="1:10" s="98" customFormat="1" ht="15.75" x14ac:dyDescent="0.25">
      <c r="A16" s="108">
        <v>11</v>
      </c>
      <c r="B16" s="109">
        <v>44784</v>
      </c>
      <c r="C16" s="109">
        <v>44784</v>
      </c>
      <c r="D16" s="119" t="s">
        <v>96</v>
      </c>
      <c r="E16" s="110" t="s">
        <v>5</v>
      </c>
      <c r="F16" s="108">
        <v>100</v>
      </c>
      <c r="G16" s="108" t="s">
        <v>3</v>
      </c>
      <c r="H16" s="111">
        <v>407.1</v>
      </c>
      <c r="I16" s="111">
        <f t="shared" si="0"/>
        <v>40710</v>
      </c>
    </row>
    <row r="17" spans="1:9" s="12" customFormat="1" ht="15.75" x14ac:dyDescent="0.25">
      <c r="A17" s="135">
        <v>12</v>
      </c>
      <c r="B17" s="109">
        <v>44918</v>
      </c>
      <c r="C17" s="109">
        <v>44918</v>
      </c>
      <c r="D17" s="119" t="s">
        <v>97</v>
      </c>
      <c r="E17" s="110" t="s">
        <v>41</v>
      </c>
      <c r="F17" s="108">
        <f>200-14-30-45</f>
        <v>111</v>
      </c>
      <c r="G17" s="108" t="s">
        <v>4</v>
      </c>
      <c r="H17" s="111">
        <v>141.6</v>
      </c>
      <c r="I17" s="111">
        <f t="shared" si="0"/>
        <v>15717.599999999999</v>
      </c>
    </row>
    <row r="18" spans="1:9" s="12" customFormat="1" ht="14.25" customHeight="1" x14ac:dyDescent="0.25">
      <c r="A18" s="108">
        <v>13</v>
      </c>
      <c r="B18" s="109">
        <v>45107</v>
      </c>
      <c r="C18" s="109">
        <v>45107</v>
      </c>
      <c r="D18" s="119" t="s">
        <v>97</v>
      </c>
      <c r="E18" s="110" t="s">
        <v>284</v>
      </c>
      <c r="F18" s="108">
        <v>300</v>
      </c>
      <c r="G18" s="108" t="s">
        <v>4</v>
      </c>
      <c r="H18" s="111">
        <v>82.540999999999997</v>
      </c>
      <c r="I18" s="111">
        <f t="shared" si="0"/>
        <v>24762.3</v>
      </c>
    </row>
    <row r="19" spans="1:9" s="98" customFormat="1" ht="14.25" customHeight="1" x14ac:dyDescent="0.25">
      <c r="A19" s="135">
        <v>14</v>
      </c>
      <c r="B19" s="109">
        <v>45107</v>
      </c>
      <c r="C19" s="109">
        <v>45107</v>
      </c>
      <c r="D19" s="119" t="s">
        <v>99</v>
      </c>
      <c r="E19" s="110" t="s">
        <v>285</v>
      </c>
      <c r="F19" s="108">
        <v>150</v>
      </c>
      <c r="G19" s="108" t="s">
        <v>286</v>
      </c>
      <c r="H19" s="111">
        <v>381.73</v>
      </c>
      <c r="I19" s="111">
        <f t="shared" si="0"/>
        <v>57259.5</v>
      </c>
    </row>
    <row r="20" spans="1:9" s="12" customFormat="1" ht="15.75" x14ac:dyDescent="0.25">
      <c r="A20" s="108">
        <v>15</v>
      </c>
      <c r="B20" s="109">
        <v>44918</v>
      </c>
      <c r="C20" s="109">
        <v>44918</v>
      </c>
      <c r="D20" s="119" t="s">
        <v>203</v>
      </c>
      <c r="E20" s="110" t="s">
        <v>195</v>
      </c>
      <c r="F20" s="108">
        <f>300-29-62-61</f>
        <v>148</v>
      </c>
      <c r="G20" s="108" t="s">
        <v>4</v>
      </c>
      <c r="H20" s="111">
        <v>271.39999999999998</v>
      </c>
      <c r="I20" s="111">
        <f t="shared" si="0"/>
        <v>40167.199999999997</v>
      </c>
    </row>
    <row r="21" spans="1:9" s="12" customFormat="1" ht="14.25" customHeight="1" x14ac:dyDescent="0.25">
      <c r="A21" s="135">
        <v>16</v>
      </c>
      <c r="B21" s="109">
        <v>45107</v>
      </c>
      <c r="C21" s="109">
        <v>45107</v>
      </c>
      <c r="D21" s="119" t="s">
        <v>203</v>
      </c>
      <c r="E21" s="110" t="s">
        <v>195</v>
      </c>
      <c r="F21" s="108">
        <v>300</v>
      </c>
      <c r="G21" s="108" t="s">
        <v>4</v>
      </c>
      <c r="H21" s="111">
        <v>114.224</v>
      </c>
      <c r="I21" s="111">
        <f t="shared" si="0"/>
        <v>34267.200000000004</v>
      </c>
    </row>
    <row r="22" spans="1:9" s="12" customFormat="1" ht="15.75" x14ac:dyDescent="0.25">
      <c r="A22" s="108">
        <v>17</v>
      </c>
      <c r="B22" s="109">
        <v>44540</v>
      </c>
      <c r="C22" s="109">
        <v>44540</v>
      </c>
      <c r="D22" s="119" t="s">
        <v>98</v>
      </c>
      <c r="E22" s="110" t="s">
        <v>55</v>
      </c>
      <c r="F22" s="108">
        <f>50-6-4-1-7-2-3-4-10-7</f>
        <v>6</v>
      </c>
      <c r="G22" s="108" t="s">
        <v>3</v>
      </c>
      <c r="H22" s="111">
        <v>781.16</v>
      </c>
      <c r="I22" s="111">
        <f t="shared" si="0"/>
        <v>4686.96</v>
      </c>
    </row>
    <row r="23" spans="1:9" s="98" customFormat="1" ht="15.75" x14ac:dyDescent="0.25">
      <c r="A23" s="135">
        <v>18</v>
      </c>
      <c r="B23" s="109">
        <v>44634</v>
      </c>
      <c r="C23" s="109">
        <v>44634</v>
      </c>
      <c r="D23" s="119" t="s">
        <v>98</v>
      </c>
      <c r="E23" s="110" t="s">
        <v>55</v>
      </c>
      <c r="F23" s="108">
        <v>50</v>
      </c>
      <c r="G23" s="108" t="s">
        <v>3</v>
      </c>
      <c r="H23" s="111">
        <v>934.56</v>
      </c>
      <c r="I23" s="111">
        <f t="shared" si="0"/>
        <v>46728</v>
      </c>
    </row>
    <row r="24" spans="1:9" s="98" customFormat="1" ht="15.75" x14ac:dyDescent="0.25">
      <c r="A24" s="108">
        <v>19</v>
      </c>
      <c r="B24" s="109">
        <v>44922</v>
      </c>
      <c r="C24" s="109">
        <v>44922</v>
      </c>
      <c r="D24" s="119" t="s">
        <v>98</v>
      </c>
      <c r="E24" s="110" t="s">
        <v>55</v>
      </c>
      <c r="F24" s="108">
        <v>20</v>
      </c>
      <c r="G24" s="108" t="s">
        <v>3</v>
      </c>
      <c r="H24" s="111">
        <v>385.47</v>
      </c>
      <c r="I24" s="111">
        <f t="shared" si="0"/>
        <v>7709.4000000000005</v>
      </c>
    </row>
    <row r="25" spans="1:9" s="12" customFormat="1" ht="15.75" x14ac:dyDescent="0.25">
      <c r="A25" s="135">
        <v>20</v>
      </c>
      <c r="B25" s="109">
        <v>44183</v>
      </c>
      <c r="C25" s="109">
        <v>44183</v>
      </c>
      <c r="D25" s="119" t="s">
        <v>100</v>
      </c>
      <c r="E25" s="110" t="s">
        <v>58</v>
      </c>
      <c r="F25" s="108">
        <f>50-2-1-2-1-6-1-15-2-10-3-3</f>
        <v>4</v>
      </c>
      <c r="G25" s="108" t="s">
        <v>3</v>
      </c>
      <c r="H25" s="111">
        <v>160.00800000000001</v>
      </c>
      <c r="I25" s="111">
        <f t="shared" si="0"/>
        <v>640.03200000000004</v>
      </c>
    </row>
    <row r="26" spans="1:9" s="12" customFormat="1" ht="14.25" customHeight="1" x14ac:dyDescent="0.25">
      <c r="A26" s="108">
        <v>21</v>
      </c>
      <c r="B26" s="109">
        <v>45106</v>
      </c>
      <c r="C26" s="109">
        <v>45106</v>
      </c>
      <c r="D26" s="119" t="s">
        <v>100</v>
      </c>
      <c r="E26" s="110" t="s">
        <v>58</v>
      </c>
      <c r="F26" s="108">
        <v>30</v>
      </c>
      <c r="G26" s="108" t="s">
        <v>3</v>
      </c>
      <c r="H26" s="111">
        <v>96.500299999999996</v>
      </c>
      <c r="I26" s="111">
        <f t="shared" si="0"/>
        <v>2895.009</v>
      </c>
    </row>
    <row r="27" spans="1:9" s="98" customFormat="1" ht="15.75" x14ac:dyDescent="0.25">
      <c r="A27" s="135">
        <v>22</v>
      </c>
      <c r="B27" s="109">
        <v>44918</v>
      </c>
      <c r="C27" s="109">
        <v>44918</v>
      </c>
      <c r="D27" s="119" t="s">
        <v>223</v>
      </c>
      <c r="E27" s="110" t="s">
        <v>221</v>
      </c>
      <c r="F27" s="108">
        <f>85-1</f>
        <v>84</v>
      </c>
      <c r="G27" s="108" t="s">
        <v>3</v>
      </c>
      <c r="H27" s="111">
        <v>295</v>
      </c>
      <c r="I27" s="111">
        <f t="shared" si="0"/>
        <v>24780</v>
      </c>
    </row>
    <row r="28" spans="1:9" s="12" customFormat="1" ht="14.25" customHeight="1" x14ac:dyDescent="0.25">
      <c r="A28" s="108">
        <v>23</v>
      </c>
      <c r="B28" s="109">
        <v>45107</v>
      </c>
      <c r="C28" s="109">
        <v>45107</v>
      </c>
      <c r="D28" s="119" t="s">
        <v>223</v>
      </c>
      <c r="E28" s="110" t="s">
        <v>221</v>
      </c>
      <c r="F28" s="108">
        <v>100</v>
      </c>
      <c r="G28" s="108" t="s">
        <v>3</v>
      </c>
      <c r="H28" s="111">
        <v>177.23599999999999</v>
      </c>
      <c r="I28" s="111">
        <f t="shared" si="0"/>
        <v>17723.599999999999</v>
      </c>
    </row>
    <row r="29" spans="1:9" s="12" customFormat="1" ht="15.75" x14ac:dyDescent="0.25">
      <c r="A29" s="135">
        <v>24</v>
      </c>
      <c r="B29" s="109">
        <v>44540</v>
      </c>
      <c r="C29" s="109">
        <v>44540</v>
      </c>
      <c r="D29" s="119" t="s">
        <v>101</v>
      </c>
      <c r="E29" s="110" t="s">
        <v>54</v>
      </c>
      <c r="F29" s="108">
        <f>200-12-9-9-10-14-18</f>
        <v>128</v>
      </c>
      <c r="G29" s="108" t="s">
        <v>6</v>
      </c>
      <c r="H29" s="111">
        <v>580.55999999999995</v>
      </c>
      <c r="I29" s="111">
        <f t="shared" si="0"/>
        <v>74311.679999999993</v>
      </c>
    </row>
    <row r="30" spans="1:9" s="12" customFormat="1" ht="15.75" x14ac:dyDescent="0.25">
      <c r="A30" s="108">
        <v>25</v>
      </c>
      <c r="B30" s="109">
        <v>44918</v>
      </c>
      <c r="C30" s="109">
        <v>44918</v>
      </c>
      <c r="D30" s="119" t="s">
        <v>94</v>
      </c>
      <c r="E30" s="110" t="s">
        <v>52</v>
      </c>
      <c r="F30" s="108">
        <f>200-25-10-53-32-11-45</f>
        <v>24</v>
      </c>
      <c r="G30" s="108" t="s">
        <v>53</v>
      </c>
      <c r="H30" s="111">
        <v>230.1</v>
      </c>
      <c r="I30" s="111">
        <f t="shared" si="0"/>
        <v>5522.4</v>
      </c>
    </row>
    <row r="31" spans="1:9" s="12" customFormat="1" ht="14.25" customHeight="1" x14ac:dyDescent="0.25">
      <c r="A31" s="135">
        <v>26</v>
      </c>
      <c r="B31" s="109">
        <v>45107</v>
      </c>
      <c r="C31" s="109">
        <v>45107</v>
      </c>
      <c r="D31" s="119" t="s">
        <v>94</v>
      </c>
      <c r="E31" s="110" t="s">
        <v>52</v>
      </c>
      <c r="F31" s="108">
        <v>200</v>
      </c>
      <c r="G31" s="108" t="s">
        <v>53</v>
      </c>
      <c r="H31" s="111">
        <v>99.71</v>
      </c>
      <c r="I31" s="111">
        <f t="shared" si="0"/>
        <v>19942</v>
      </c>
    </row>
    <row r="32" spans="1:9" s="12" customFormat="1" ht="15.75" x14ac:dyDescent="0.25">
      <c r="A32" s="108">
        <v>27</v>
      </c>
      <c r="B32" s="109">
        <v>44784</v>
      </c>
      <c r="C32" s="109">
        <v>44784</v>
      </c>
      <c r="D32" s="119" t="s">
        <v>204</v>
      </c>
      <c r="E32" s="110" t="s">
        <v>192</v>
      </c>
      <c r="F32" s="108">
        <f>180-13-37-40</f>
        <v>90</v>
      </c>
      <c r="G32" s="108" t="s">
        <v>4</v>
      </c>
      <c r="H32" s="111">
        <v>348.1</v>
      </c>
      <c r="I32" s="111">
        <f t="shared" si="0"/>
        <v>31329.000000000004</v>
      </c>
    </row>
    <row r="33" spans="1:9" s="98" customFormat="1" ht="15.75" x14ac:dyDescent="0.25">
      <c r="A33" s="135">
        <v>28</v>
      </c>
      <c r="B33" s="109">
        <v>44918</v>
      </c>
      <c r="C33" s="109">
        <v>44918</v>
      </c>
      <c r="D33" s="119" t="s">
        <v>204</v>
      </c>
      <c r="E33" s="110" t="s">
        <v>192</v>
      </c>
      <c r="F33" s="108">
        <v>80</v>
      </c>
      <c r="G33" s="108" t="s">
        <v>4</v>
      </c>
      <c r="H33" s="111">
        <v>336.3</v>
      </c>
      <c r="I33" s="111">
        <f t="shared" si="0"/>
        <v>26904</v>
      </c>
    </row>
    <row r="34" spans="1:9" s="98" customFormat="1" ht="14.25" customHeight="1" x14ac:dyDescent="0.25">
      <c r="A34" s="108">
        <v>29</v>
      </c>
      <c r="B34" s="109">
        <v>45107</v>
      </c>
      <c r="C34" s="109">
        <v>45107</v>
      </c>
      <c r="D34" s="119" t="s">
        <v>204</v>
      </c>
      <c r="E34" s="110" t="s">
        <v>287</v>
      </c>
      <c r="F34" s="108">
        <v>100</v>
      </c>
      <c r="G34" s="108" t="s">
        <v>4</v>
      </c>
      <c r="H34" s="111">
        <v>224.2</v>
      </c>
      <c r="I34" s="111">
        <f t="shared" si="0"/>
        <v>22420</v>
      </c>
    </row>
    <row r="35" spans="1:9" s="12" customFormat="1" ht="15.75" x14ac:dyDescent="0.25">
      <c r="A35" s="135">
        <v>30</v>
      </c>
      <c r="B35" s="109">
        <v>44784</v>
      </c>
      <c r="C35" s="109">
        <v>44784</v>
      </c>
      <c r="D35" s="119" t="s">
        <v>93</v>
      </c>
      <c r="E35" s="110" t="s">
        <v>193</v>
      </c>
      <c r="F35" s="108">
        <f>200-2-32-29</f>
        <v>137</v>
      </c>
      <c r="G35" s="108" t="s">
        <v>194</v>
      </c>
      <c r="H35" s="111">
        <v>230.1</v>
      </c>
      <c r="I35" s="111">
        <f t="shared" si="0"/>
        <v>31523.7</v>
      </c>
    </row>
    <row r="36" spans="1:9" s="12" customFormat="1" ht="14.25" customHeight="1" x14ac:dyDescent="0.25">
      <c r="A36" s="108">
        <v>31</v>
      </c>
      <c r="B36" s="109">
        <v>45106</v>
      </c>
      <c r="C36" s="109">
        <v>45106</v>
      </c>
      <c r="D36" s="119" t="s">
        <v>93</v>
      </c>
      <c r="E36" s="110" t="s">
        <v>282</v>
      </c>
      <c r="F36" s="108">
        <v>100</v>
      </c>
      <c r="G36" s="108" t="s">
        <v>194</v>
      </c>
      <c r="H36" s="111">
        <v>49.595399999999998</v>
      </c>
      <c r="I36" s="111">
        <f t="shared" si="0"/>
        <v>4959.54</v>
      </c>
    </row>
    <row r="37" spans="1:9" s="98" customFormat="1" ht="15.75" x14ac:dyDescent="0.25">
      <c r="A37" s="135">
        <v>32</v>
      </c>
      <c r="B37" s="109">
        <v>44784</v>
      </c>
      <c r="C37" s="109">
        <v>44784</v>
      </c>
      <c r="D37" s="119" t="s">
        <v>99</v>
      </c>
      <c r="E37" s="110" t="s">
        <v>190</v>
      </c>
      <c r="F37" s="108">
        <f>100-2</f>
        <v>98</v>
      </c>
      <c r="G37" s="108" t="s">
        <v>4</v>
      </c>
      <c r="H37" s="111">
        <v>348.1</v>
      </c>
      <c r="I37" s="111">
        <f t="shared" si="0"/>
        <v>34113.800000000003</v>
      </c>
    </row>
    <row r="38" spans="1:9" s="98" customFormat="1" ht="15.75" x14ac:dyDescent="0.25">
      <c r="A38" s="108">
        <v>33</v>
      </c>
      <c r="B38" s="109">
        <v>44918</v>
      </c>
      <c r="C38" s="109">
        <v>44918</v>
      </c>
      <c r="D38" s="119" t="s">
        <v>99</v>
      </c>
      <c r="E38" s="110" t="s">
        <v>190</v>
      </c>
      <c r="F38" s="108">
        <v>100</v>
      </c>
      <c r="G38" s="108" t="s">
        <v>4</v>
      </c>
      <c r="H38" s="111">
        <v>358.13</v>
      </c>
      <c r="I38" s="111">
        <f t="shared" si="0"/>
        <v>35813</v>
      </c>
    </row>
    <row r="39" spans="1:9" s="98" customFormat="1" ht="15.75" x14ac:dyDescent="0.25">
      <c r="A39" s="135">
        <v>34</v>
      </c>
      <c r="B39" s="109">
        <v>44922</v>
      </c>
      <c r="C39" s="109">
        <v>44922</v>
      </c>
      <c r="D39" s="119" t="s">
        <v>224</v>
      </c>
      <c r="E39" s="110" t="s">
        <v>227</v>
      </c>
      <c r="F39" s="108">
        <f>49-4</f>
        <v>45</v>
      </c>
      <c r="G39" s="108" t="s">
        <v>6</v>
      </c>
      <c r="H39" s="111">
        <v>2506.3200000000002</v>
      </c>
      <c r="I39" s="111">
        <f>F39*H39</f>
        <v>112784.40000000001</v>
      </c>
    </row>
    <row r="40" spans="1:9" s="12" customFormat="1" ht="14.25" customHeight="1" x14ac:dyDescent="0.25">
      <c r="A40" s="108">
        <v>35</v>
      </c>
      <c r="B40" s="109">
        <v>45106</v>
      </c>
      <c r="C40" s="109">
        <v>45106</v>
      </c>
      <c r="D40" s="119" t="s">
        <v>224</v>
      </c>
      <c r="E40" s="110" t="s">
        <v>283</v>
      </c>
      <c r="F40" s="108">
        <v>224</v>
      </c>
      <c r="G40" s="108" t="s">
        <v>6</v>
      </c>
      <c r="H40" s="111">
        <v>744.14338999999995</v>
      </c>
      <c r="I40" s="111">
        <f t="shared" si="0"/>
        <v>166688.11935999998</v>
      </c>
    </row>
    <row r="41" spans="1:9" s="12" customFormat="1" ht="14.25" customHeight="1" x14ac:dyDescent="0.25">
      <c r="A41" s="135">
        <v>36</v>
      </c>
      <c r="B41" s="109">
        <v>45105</v>
      </c>
      <c r="C41" s="109">
        <v>45105</v>
      </c>
      <c r="D41" s="119" t="s">
        <v>92</v>
      </c>
      <c r="E41" s="110" t="s">
        <v>236</v>
      </c>
      <c r="F41" s="108">
        <f>230-10</f>
        <v>220</v>
      </c>
      <c r="G41" s="108" t="s">
        <v>6</v>
      </c>
      <c r="H41" s="111">
        <v>824.23</v>
      </c>
      <c r="I41" s="111">
        <f t="shared" si="0"/>
        <v>181330.6</v>
      </c>
    </row>
    <row r="42" spans="1:9" s="12" customFormat="1" ht="15.75" x14ac:dyDescent="0.25">
      <c r="A42" s="108">
        <v>37</v>
      </c>
      <c r="B42" s="109">
        <v>44634</v>
      </c>
      <c r="C42" s="109">
        <v>44634</v>
      </c>
      <c r="D42" s="119" t="s">
        <v>102</v>
      </c>
      <c r="E42" s="110" t="s">
        <v>57</v>
      </c>
      <c r="F42" s="108">
        <f>25-8-3</f>
        <v>14</v>
      </c>
      <c r="G42" s="108" t="s">
        <v>3</v>
      </c>
      <c r="H42" s="111">
        <v>231.28</v>
      </c>
      <c r="I42" s="111">
        <f t="shared" si="0"/>
        <v>3237.92</v>
      </c>
    </row>
    <row r="43" spans="1:9" s="98" customFormat="1" ht="15.75" x14ac:dyDescent="0.25">
      <c r="A43" s="135">
        <v>38</v>
      </c>
      <c r="B43" s="109">
        <v>44784</v>
      </c>
      <c r="C43" s="109">
        <v>44784</v>
      </c>
      <c r="D43" s="119" t="s">
        <v>102</v>
      </c>
      <c r="E43" s="110" t="s">
        <v>57</v>
      </c>
      <c r="F43" s="108">
        <v>25</v>
      </c>
      <c r="G43" s="108" t="s">
        <v>3</v>
      </c>
      <c r="H43" s="111">
        <v>231.28</v>
      </c>
      <c r="I43" s="111">
        <f t="shared" si="0"/>
        <v>5782</v>
      </c>
    </row>
    <row r="44" spans="1:9" s="12" customFormat="1" ht="15.75" x14ac:dyDescent="0.25">
      <c r="A44" s="108">
        <v>39</v>
      </c>
      <c r="B44" s="109">
        <v>44784</v>
      </c>
      <c r="C44" s="109">
        <v>44784</v>
      </c>
      <c r="D44" s="119" t="s">
        <v>235</v>
      </c>
      <c r="E44" s="121" t="s">
        <v>51</v>
      </c>
      <c r="F44" s="108">
        <f>100-14-32-14-16</f>
        <v>24</v>
      </c>
      <c r="G44" s="108" t="s">
        <v>3</v>
      </c>
      <c r="H44" s="111">
        <v>289.10000000000002</v>
      </c>
      <c r="I44" s="111">
        <f t="shared" si="0"/>
        <v>6938.4000000000005</v>
      </c>
    </row>
    <row r="45" spans="1:9" s="98" customFormat="1" ht="15.75" x14ac:dyDescent="0.25">
      <c r="A45" s="135">
        <v>40</v>
      </c>
      <c r="B45" s="109">
        <v>44918</v>
      </c>
      <c r="C45" s="109">
        <v>44918</v>
      </c>
      <c r="D45" s="119" t="s">
        <v>235</v>
      </c>
      <c r="E45" s="121" t="s">
        <v>51</v>
      </c>
      <c r="F45" s="108">
        <v>100</v>
      </c>
      <c r="G45" s="108" t="s">
        <v>3</v>
      </c>
      <c r="H45" s="111">
        <v>300.89999999999998</v>
      </c>
      <c r="I45" s="111">
        <f t="shared" si="0"/>
        <v>30089.999999999996</v>
      </c>
    </row>
    <row r="46" spans="1:9" s="12" customFormat="1" ht="15.75" x14ac:dyDescent="0.25">
      <c r="A46" s="108">
        <v>41</v>
      </c>
      <c r="B46" s="109">
        <v>44183</v>
      </c>
      <c r="C46" s="109">
        <v>44183</v>
      </c>
      <c r="D46" s="119" t="s">
        <v>103</v>
      </c>
      <c r="E46" s="110" t="s">
        <v>46</v>
      </c>
      <c r="F46" s="108">
        <f>6750-145-139-189-159-178-150-181-213-224-197-187-189-141-192-226-250-227-280-255-260-303-284-345-120-233-170-285-238-285-305</f>
        <v>200</v>
      </c>
      <c r="G46" s="108" t="s">
        <v>6</v>
      </c>
      <c r="H46" s="111">
        <v>42.244</v>
      </c>
      <c r="I46" s="111">
        <f t="shared" si="0"/>
        <v>8448.7999999999993</v>
      </c>
    </row>
    <row r="47" spans="1:9" s="12" customFormat="1" ht="14.25" customHeight="1" x14ac:dyDescent="0.25">
      <c r="A47" s="135">
        <v>42</v>
      </c>
      <c r="B47" s="109">
        <v>45107</v>
      </c>
      <c r="C47" s="109">
        <v>45107</v>
      </c>
      <c r="D47" s="119" t="s">
        <v>104</v>
      </c>
      <c r="E47" s="110" t="s">
        <v>56</v>
      </c>
      <c r="F47" s="108">
        <v>50</v>
      </c>
      <c r="G47" s="108" t="s">
        <v>3</v>
      </c>
      <c r="H47" s="111">
        <v>1642.56</v>
      </c>
      <c r="I47" s="111">
        <f t="shared" si="0"/>
        <v>82128</v>
      </c>
    </row>
    <row r="48" spans="1:9" s="12" customFormat="1" ht="15.75" x14ac:dyDescent="0.25">
      <c r="A48" s="108">
        <v>43</v>
      </c>
      <c r="B48" s="109">
        <v>44918</v>
      </c>
      <c r="C48" s="109">
        <v>44918</v>
      </c>
      <c r="D48" s="119" t="s">
        <v>104</v>
      </c>
      <c r="E48" s="110" t="s">
        <v>56</v>
      </c>
      <c r="F48" s="108">
        <f>25-6-1-2-6</f>
        <v>10</v>
      </c>
      <c r="G48" s="108" t="s">
        <v>3</v>
      </c>
      <c r="H48" s="111">
        <v>767</v>
      </c>
      <c r="I48" s="111">
        <f t="shared" si="0"/>
        <v>7670</v>
      </c>
    </row>
    <row r="49" spans="1:10" s="12" customFormat="1" ht="14.25" customHeight="1" x14ac:dyDescent="0.25">
      <c r="A49" s="135">
        <v>44</v>
      </c>
      <c r="B49" s="109">
        <v>45107</v>
      </c>
      <c r="C49" s="109">
        <v>45107</v>
      </c>
      <c r="D49" s="119" t="s">
        <v>104</v>
      </c>
      <c r="E49" s="110" t="s">
        <v>259</v>
      </c>
      <c r="F49" s="116">
        <v>50</v>
      </c>
      <c r="G49" s="108" t="s">
        <v>3</v>
      </c>
      <c r="H49" s="124">
        <v>1038.4000000000001</v>
      </c>
      <c r="I49" s="111">
        <f t="shared" si="0"/>
        <v>51920.000000000007</v>
      </c>
    </row>
    <row r="50" spans="1:10" s="12" customFormat="1" ht="15.75" x14ac:dyDescent="0.25">
      <c r="A50" s="108">
        <v>45</v>
      </c>
      <c r="B50" s="109">
        <v>44918</v>
      </c>
      <c r="C50" s="109">
        <v>44918</v>
      </c>
      <c r="D50" s="119" t="s">
        <v>104</v>
      </c>
      <c r="E50" s="110" t="s">
        <v>259</v>
      </c>
      <c r="F50" s="116">
        <f>50-2-5-2</f>
        <v>41</v>
      </c>
      <c r="G50" s="108" t="s">
        <v>3</v>
      </c>
      <c r="H50" s="124">
        <v>466.1</v>
      </c>
      <c r="I50" s="111">
        <f t="shared" si="0"/>
        <v>19110.100000000002</v>
      </c>
    </row>
    <row r="51" spans="1:10" s="20" customFormat="1" x14ac:dyDescent="0.25">
      <c r="H51" s="32" t="s">
        <v>18</v>
      </c>
      <c r="I51" s="65">
        <f>SUM(I6:I50)</f>
        <v>1462397.3703600001</v>
      </c>
      <c r="J51" s="40"/>
    </row>
    <row r="52" spans="1:10" s="20" customFormat="1" x14ac:dyDescent="0.25">
      <c r="H52" s="84"/>
      <c r="I52" s="90"/>
      <c r="J52" s="40"/>
    </row>
    <row r="53" spans="1:10" s="20" customFormat="1" x14ac:dyDescent="0.25">
      <c r="H53" s="84"/>
      <c r="I53" s="90"/>
      <c r="J53" s="40"/>
    </row>
    <row r="54" spans="1:10" s="20" customFormat="1" x14ac:dyDescent="0.25"/>
    <row r="55" spans="1:10" x14ac:dyDescent="0.25">
      <c r="A55" s="141" t="s">
        <v>270</v>
      </c>
      <c r="B55" s="141"/>
      <c r="C55" s="141"/>
      <c r="D55" s="141"/>
      <c r="E55" s="141"/>
      <c r="F55" s="141"/>
      <c r="G55" s="141"/>
      <c r="H55" s="141"/>
      <c r="I55" s="141"/>
    </row>
    <row r="56" spans="1:10" ht="15.75" x14ac:dyDescent="0.25">
      <c r="A56" s="148" t="s">
        <v>271</v>
      </c>
      <c r="B56" s="148"/>
      <c r="C56" s="148"/>
      <c r="D56" s="148"/>
      <c r="E56" s="148"/>
      <c r="F56" s="148"/>
      <c r="G56" s="148"/>
      <c r="H56" s="148"/>
      <c r="I56" s="148"/>
    </row>
    <row r="57" spans="1:10" ht="15.75" x14ac:dyDescent="0.25">
      <c r="A57" s="149" t="s">
        <v>272</v>
      </c>
      <c r="B57" s="149"/>
      <c r="C57" s="149"/>
      <c r="D57" s="149"/>
      <c r="E57" s="149"/>
      <c r="F57" s="149"/>
      <c r="G57" s="149"/>
      <c r="H57" s="149"/>
      <c r="I57" s="149"/>
    </row>
    <row r="58" spans="1:10" ht="15.75" x14ac:dyDescent="0.25">
      <c r="A58" s="149" t="s">
        <v>273</v>
      </c>
      <c r="B58" s="149"/>
      <c r="C58" s="149"/>
      <c r="D58" s="149"/>
      <c r="E58" s="149"/>
      <c r="F58" s="149"/>
      <c r="G58" s="149"/>
      <c r="H58" s="149"/>
      <c r="I58" s="149"/>
    </row>
    <row r="59" spans="1:10" ht="14.25" customHeight="1" x14ac:dyDescent="0.25">
      <c r="A59" s="81"/>
      <c r="B59" s="150"/>
      <c r="C59" s="150"/>
      <c r="D59" s="150"/>
      <c r="E59" s="150"/>
      <c r="F59" s="150"/>
      <c r="G59" s="75"/>
      <c r="H59" s="134"/>
      <c r="I59" s="76"/>
    </row>
    <row r="60" spans="1:10" ht="12" customHeight="1" x14ac:dyDescent="0.25">
      <c r="A60" s="83"/>
      <c r="B60" s="151"/>
      <c r="C60" s="151"/>
      <c r="D60" s="151"/>
      <c r="E60" s="152"/>
      <c r="F60" s="152"/>
      <c r="G60" s="77"/>
      <c r="H60" s="153"/>
      <c r="I60" s="153"/>
    </row>
    <row r="61" spans="1:10" ht="23.25" customHeight="1" x14ac:dyDescent="0.25">
      <c r="B61" s="147"/>
      <c r="C61" s="147"/>
      <c r="D61" s="147"/>
      <c r="E61" s="147"/>
      <c r="F61" s="147"/>
      <c r="G61" s="78"/>
      <c r="H61" s="79"/>
      <c r="I61" s="78"/>
    </row>
    <row r="62" spans="1:10" ht="16.5" customHeight="1" x14ac:dyDescent="0.25"/>
    <row r="63" spans="1:10" ht="11.25" customHeight="1" x14ac:dyDescent="0.25"/>
    <row r="64" spans="1:10" ht="15" customHeight="1" x14ac:dyDescent="0.25"/>
    <row r="65" ht="15" customHeight="1" x14ac:dyDescent="0.25"/>
    <row r="66" ht="11.25" customHeight="1" x14ac:dyDescent="0.25"/>
    <row r="67" ht="11.25" customHeight="1" x14ac:dyDescent="0.25"/>
  </sheetData>
  <mergeCells count="16">
    <mergeCell ref="B61:D61"/>
    <mergeCell ref="E61:F61"/>
    <mergeCell ref="A56:I56"/>
    <mergeCell ref="A57:I57"/>
    <mergeCell ref="A58:I58"/>
    <mergeCell ref="B59:D59"/>
    <mergeCell ref="E59:F59"/>
    <mergeCell ref="B60:D60"/>
    <mergeCell ref="E60:F60"/>
    <mergeCell ref="H60:I60"/>
    <mergeCell ref="A55:I55"/>
    <mergeCell ref="A1:I1"/>
    <mergeCell ref="A2:I2"/>
    <mergeCell ref="A3:I3"/>
    <mergeCell ref="A4:I4"/>
    <mergeCell ref="F5:G5"/>
  </mergeCells>
  <pageMargins left="0.86" right="0.21" top="0.44" bottom="0.55000000000000004" header="0.3" footer="0.5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5"/>
  <sheetViews>
    <sheetView topLeftCell="A106" zoomScaleNormal="100" workbookViewId="0">
      <selection activeCell="A122" sqref="A122:I122"/>
    </sheetView>
  </sheetViews>
  <sheetFormatPr baseColWidth="10" defaultRowHeight="15" x14ac:dyDescent="0.25"/>
  <cols>
    <col min="1" max="1" width="6.28515625" customWidth="1"/>
    <col min="2" max="2" width="14.5703125" customWidth="1"/>
    <col min="3" max="3" width="12.85546875" customWidth="1"/>
    <col min="4" max="4" width="9.7109375" customWidth="1"/>
    <col min="5" max="5" width="30.42578125" customWidth="1"/>
    <col min="6" max="6" width="8.42578125" customWidth="1"/>
    <col min="7" max="7" width="8" customWidth="1"/>
    <col min="8" max="8" width="13.5703125" customWidth="1"/>
    <col min="9" max="9" width="17.28515625" customWidth="1"/>
    <col min="10" max="10" width="13.140625" bestFit="1" customWidth="1"/>
    <col min="11" max="11" width="12.42578125" bestFit="1" customWidth="1"/>
  </cols>
  <sheetData>
    <row r="2" spans="1:10" s="20" customFormat="1" x14ac:dyDescent="0.25"/>
    <row r="3" spans="1:10" s="20" customFormat="1" ht="48" customHeight="1" x14ac:dyDescent="0.25">
      <c r="A3" s="154" t="s">
        <v>31</v>
      </c>
      <c r="B3" s="154"/>
      <c r="C3" s="154"/>
      <c r="D3" s="154"/>
      <c r="E3" s="154"/>
      <c r="F3" s="154"/>
      <c r="G3" s="154"/>
      <c r="H3" s="154"/>
      <c r="I3" s="154"/>
    </row>
    <row r="4" spans="1:10" s="20" customFormat="1" ht="15.75" customHeight="1" x14ac:dyDescent="0.3">
      <c r="A4" s="155" t="s">
        <v>26</v>
      </c>
      <c r="B4" s="155"/>
      <c r="C4" s="155"/>
      <c r="D4" s="155"/>
      <c r="E4" s="155"/>
      <c r="F4" s="155"/>
      <c r="G4" s="155"/>
      <c r="H4" s="155"/>
      <c r="I4" s="155"/>
    </row>
    <row r="5" spans="1:10" s="20" customFormat="1" ht="12" customHeight="1" x14ac:dyDescent="0.25">
      <c r="A5" s="156" t="s">
        <v>88</v>
      </c>
      <c r="B5" s="156"/>
      <c r="C5" s="156"/>
      <c r="D5" s="156"/>
      <c r="E5" s="156"/>
      <c r="F5" s="156"/>
      <c r="G5" s="156"/>
      <c r="H5" s="156"/>
      <c r="I5" s="156"/>
    </row>
    <row r="6" spans="1:10" s="20" customFormat="1" ht="15.75" customHeight="1" x14ac:dyDescent="0.25">
      <c r="A6" s="145" t="s">
        <v>290</v>
      </c>
      <c r="B6" s="145"/>
      <c r="C6" s="145"/>
      <c r="D6" s="145"/>
      <c r="E6" s="145"/>
      <c r="F6" s="145"/>
      <c r="G6" s="145"/>
      <c r="H6" s="145"/>
      <c r="I6" s="145"/>
    </row>
    <row r="7" spans="1:10" s="8" customFormat="1" ht="41.25" customHeight="1" x14ac:dyDescent="0.25">
      <c r="A7" s="33" t="s">
        <v>0</v>
      </c>
      <c r="B7" s="34" t="s">
        <v>20</v>
      </c>
      <c r="C7" s="35" t="s">
        <v>95</v>
      </c>
      <c r="D7" s="36" t="s">
        <v>91</v>
      </c>
      <c r="E7" s="61" t="s">
        <v>1</v>
      </c>
      <c r="F7" s="157" t="s">
        <v>2</v>
      </c>
      <c r="G7" s="158"/>
      <c r="H7" s="37" t="s">
        <v>16</v>
      </c>
      <c r="I7" s="38" t="s">
        <v>17</v>
      </c>
      <c r="J7" s="62"/>
    </row>
    <row r="8" spans="1:10" s="100" customFormat="1" ht="12.75" x14ac:dyDescent="0.2">
      <c r="A8" s="7">
        <v>1</v>
      </c>
      <c r="B8" s="9">
        <v>44748</v>
      </c>
      <c r="C8" s="9">
        <v>44748</v>
      </c>
      <c r="D8" s="30" t="s">
        <v>105</v>
      </c>
      <c r="E8" s="10" t="s">
        <v>231</v>
      </c>
      <c r="F8" s="7">
        <f>125-7-5-12-4-26-6-3-2-3-12-1</f>
        <v>44</v>
      </c>
      <c r="G8" s="7" t="s">
        <v>3</v>
      </c>
      <c r="H8" s="11">
        <v>570.53</v>
      </c>
      <c r="I8" s="14">
        <f t="shared" ref="I8:I12" si="0">+F8*H8</f>
        <v>25103.32</v>
      </c>
      <c r="J8" s="94"/>
    </row>
    <row r="9" spans="1:10" s="8" customFormat="1" ht="12.75" x14ac:dyDescent="0.2">
      <c r="A9" s="7">
        <v>2</v>
      </c>
      <c r="B9" s="9">
        <v>44748</v>
      </c>
      <c r="C9" s="9">
        <v>44748</v>
      </c>
      <c r="D9" s="30" t="s">
        <v>105</v>
      </c>
      <c r="E9" s="10" t="s">
        <v>269</v>
      </c>
      <c r="F9" s="7">
        <f>125-12-4-3-12</f>
        <v>94</v>
      </c>
      <c r="G9" s="7" t="s">
        <v>3</v>
      </c>
      <c r="H9" s="11">
        <v>608.44344000000001</v>
      </c>
      <c r="I9" s="14">
        <f t="shared" si="0"/>
        <v>57193.683360000003</v>
      </c>
      <c r="J9" s="31"/>
    </row>
    <row r="10" spans="1:10" s="99" customFormat="1" ht="12.75" x14ac:dyDescent="0.2">
      <c r="A10" s="7">
        <v>3</v>
      </c>
      <c r="B10" s="9">
        <v>44166</v>
      </c>
      <c r="C10" s="9">
        <v>44166</v>
      </c>
      <c r="D10" s="30" t="s">
        <v>106</v>
      </c>
      <c r="E10" s="10" t="s">
        <v>67</v>
      </c>
      <c r="F10" s="7">
        <v>50</v>
      </c>
      <c r="G10" s="7" t="s">
        <v>3</v>
      </c>
      <c r="H10" s="11">
        <v>115.64</v>
      </c>
      <c r="I10" s="14">
        <f t="shared" si="0"/>
        <v>5782</v>
      </c>
      <c r="J10" s="97"/>
    </row>
    <row r="11" spans="1:10" s="99" customFormat="1" ht="12.75" x14ac:dyDescent="0.2">
      <c r="A11" s="7">
        <v>4</v>
      </c>
      <c r="B11" s="9">
        <v>44551</v>
      </c>
      <c r="C11" s="9">
        <v>44551</v>
      </c>
      <c r="D11" s="30" t="s">
        <v>214</v>
      </c>
      <c r="E11" s="10" t="s">
        <v>201</v>
      </c>
      <c r="F11" s="7">
        <f>50-2-2-3-3-6-6-2-6-5-2-6-1</f>
        <v>6</v>
      </c>
      <c r="G11" s="7" t="s">
        <v>3</v>
      </c>
      <c r="H11" s="11">
        <v>542.79999999999995</v>
      </c>
      <c r="I11" s="14">
        <f t="shared" si="0"/>
        <v>3256.7999999999997</v>
      </c>
      <c r="J11" s="97"/>
    </row>
    <row r="12" spans="1:10" s="8" customFormat="1" ht="12.75" x14ac:dyDescent="0.2">
      <c r="A12" s="7">
        <v>5</v>
      </c>
      <c r="B12" s="9">
        <v>44796</v>
      </c>
      <c r="C12" s="9">
        <v>44796</v>
      </c>
      <c r="D12" s="30" t="s">
        <v>241</v>
      </c>
      <c r="E12" s="10" t="s">
        <v>238</v>
      </c>
      <c r="F12" s="7">
        <f>398-60-40-10-10-47-10</f>
        <v>221</v>
      </c>
      <c r="G12" s="7" t="s">
        <v>3</v>
      </c>
      <c r="H12" s="11">
        <v>413</v>
      </c>
      <c r="I12" s="14">
        <f t="shared" si="0"/>
        <v>91273</v>
      </c>
      <c r="J12" s="31"/>
    </row>
    <row r="13" spans="1:10" s="100" customFormat="1" ht="12.75" x14ac:dyDescent="0.2">
      <c r="A13" s="7">
        <v>6</v>
      </c>
      <c r="B13" s="9">
        <v>44748</v>
      </c>
      <c r="C13" s="9">
        <v>44748</v>
      </c>
      <c r="D13" s="30" t="s">
        <v>107</v>
      </c>
      <c r="E13" s="10" t="s">
        <v>23</v>
      </c>
      <c r="F13" s="7">
        <f>48-24</f>
        <v>24</v>
      </c>
      <c r="G13" s="7" t="s">
        <v>3</v>
      </c>
      <c r="H13" s="11">
        <v>6.8958333333333304</v>
      </c>
      <c r="I13" s="14">
        <f>F13*H13</f>
        <v>165.49999999999994</v>
      </c>
      <c r="J13" s="94"/>
    </row>
    <row r="14" spans="1:10" s="100" customFormat="1" ht="12.75" x14ac:dyDescent="0.2">
      <c r="A14" s="7">
        <v>7</v>
      </c>
      <c r="B14" s="9">
        <v>44753</v>
      </c>
      <c r="C14" s="9">
        <v>44753</v>
      </c>
      <c r="D14" s="30" t="s">
        <v>108</v>
      </c>
      <c r="E14" s="10" t="s">
        <v>69</v>
      </c>
      <c r="F14" s="7">
        <f>200-12</f>
        <v>188</v>
      </c>
      <c r="G14" s="7" t="s">
        <v>3</v>
      </c>
      <c r="H14" s="11">
        <v>109.69</v>
      </c>
      <c r="I14" s="14">
        <f>F14*H14</f>
        <v>20621.72</v>
      </c>
      <c r="J14" s="94"/>
    </row>
    <row r="15" spans="1:10" s="100" customFormat="1" ht="12.75" x14ac:dyDescent="0.2">
      <c r="A15" s="7">
        <v>8</v>
      </c>
      <c r="B15" s="9">
        <v>44748</v>
      </c>
      <c r="C15" s="9">
        <v>44748</v>
      </c>
      <c r="D15" s="30" t="s">
        <v>239</v>
      </c>
      <c r="E15" s="10" t="s">
        <v>229</v>
      </c>
      <c r="F15" s="7">
        <f>50-1-1-2-1-1-4-1-1-3-2-4</f>
        <v>29</v>
      </c>
      <c r="G15" s="7" t="s">
        <v>230</v>
      </c>
      <c r="H15" s="11">
        <v>211.99879999999999</v>
      </c>
      <c r="I15" s="14">
        <f>F15*H15</f>
        <v>6147.9651999999996</v>
      </c>
      <c r="J15" s="94"/>
    </row>
    <row r="16" spans="1:10" s="100" customFormat="1" ht="12.75" x14ac:dyDescent="0.2">
      <c r="A16" s="7">
        <v>9</v>
      </c>
      <c r="B16" s="9">
        <v>44748</v>
      </c>
      <c r="C16" s="9">
        <v>44748</v>
      </c>
      <c r="D16" s="30" t="s">
        <v>213</v>
      </c>
      <c r="E16" s="10" t="s">
        <v>202</v>
      </c>
      <c r="F16" s="7">
        <f>75-1-2</f>
        <v>72</v>
      </c>
      <c r="G16" s="7" t="s">
        <v>3</v>
      </c>
      <c r="H16" s="126">
        <v>33.630000000000003</v>
      </c>
      <c r="I16" s="14">
        <f t="shared" ref="I16:I47" si="1">+F16*H16</f>
        <v>2421.36</v>
      </c>
      <c r="J16" s="94"/>
    </row>
    <row r="17" spans="1:10" s="100" customFormat="1" ht="12.75" x14ac:dyDescent="0.2">
      <c r="A17" s="7">
        <v>10</v>
      </c>
      <c r="B17" s="9">
        <v>44748</v>
      </c>
      <c r="C17" s="9">
        <v>44748</v>
      </c>
      <c r="D17" s="127" t="s">
        <v>111</v>
      </c>
      <c r="E17" s="10" t="s">
        <v>278</v>
      </c>
      <c r="F17" s="7">
        <f>119-4</f>
        <v>115</v>
      </c>
      <c r="G17" s="7" t="s">
        <v>3</v>
      </c>
      <c r="H17" s="11">
        <v>57.23</v>
      </c>
      <c r="I17" s="14">
        <f t="shared" si="1"/>
        <v>6581.45</v>
      </c>
      <c r="J17" s="94"/>
    </row>
    <row r="18" spans="1:10" s="100" customFormat="1" ht="12.75" x14ac:dyDescent="0.2">
      <c r="A18" s="7">
        <v>11</v>
      </c>
      <c r="B18" s="9">
        <v>44753</v>
      </c>
      <c r="C18" s="9">
        <v>44753</v>
      </c>
      <c r="D18" s="127" t="s">
        <v>111</v>
      </c>
      <c r="E18" s="10" t="s">
        <v>39</v>
      </c>
      <c r="F18" s="7">
        <f>155-7-1</f>
        <v>147</v>
      </c>
      <c r="G18" s="7" t="s">
        <v>3</v>
      </c>
      <c r="H18" s="11">
        <v>64.900000000000006</v>
      </c>
      <c r="I18" s="14">
        <f t="shared" si="1"/>
        <v>9540.3000000000011</v>
      </c>
      <c r="J18" s="94"/>
    </row>
    <row r="19" spans="1:10" s="100" customFormat="1" ht="12.75" x14ac:dyDescent="0.2">
      <c r="A19" s="7">
        <v>12</v>
      </c>
      <c r="B19" s="9">
        <v>44551</v>
      </c>
      <c r="C19" s="9">
        <v>44551</v>
      </c>
      <c r="D19" s="30" t="s">
        <v>112</v>
      </c>
      <c r="E19" s="10" t="s">
        <v>64</v>
      </c>
      <c r="F19" s="7">
        <f>100-8-4-15-2-2</f>
        <v>69</v>
      </c>
      <c r="G19" s="7" t="s">
        <v>14</v>
      </c>
      <c r="H19" s="19">
        <v>74.34</v>
      </c>
      <c r="I19" s="14">
        <f t="shared" si="1"/>
        <v>5129.46</v>
      </c>
      <c r="J19" s="94"/>
    </row>
    <row r="20" spans="1:10" s="99" customFormat="1" ht="12.75" x14ac:dyDescent="0.2">
      <c r="A20" s="7">
        <v>13</v>
      </c>
      <c r="B20" s="9">
        <v>44753</v>
      </c>
      <c r="C20" s="9">
        <v>44753</v>
      </c>
      <c r="D20" s="30" t="s">
        <v>112</v>
      </c>
      <c r="E20" s="10" t="s">
        <v>64</v>
      </c>
      <c r="F20" s="7">
        <v>50</v>
      </c>
      <c r="G20" s="7" t="s">
        <v>14</v>
      </c>
      <c r="H20" s="19">
        <v>44.073</v>
      </c>
      <c r="I20" s="14">
        <f t="shared" si="1"/>
        <v>2203.65</v>
      </c>
      <c r="J20" s="97"/>
    </row>
    <row r="21" spans="1:10" s="8" customFormat="1" ht="12.75" x14ac:dyDescent="0.2">
      <c r="A21" s="7">
        <v>14</v>
      </c>
      <c r="B21" s="9">
        <v>44166</v>
      </c>
      <c r="C21" s="9">
        <v>44166</v>
      </c>
      <c r="D21" s="30" t="s">
        <v>113</v>
      </c>
      <c r="E21" s="10" t="s">
        <v>61</v>
      </c>
      <c r="F21" s="7">
        <v>184</v>
      </c>
      <c r="G21" s="7" t="s">
        <v>14</v>
      </c>
      <c r="H21" s="19">
        <v>130.08320000000001</v>
      </c>
      <c r="I21" s="14">
        <f t="shared" si="1"/>
        <v>23935.308800000003</v>
      </c>
      <c r="J21" s="31"/>
    </row>
    <row r="22" spans="1:10" s="8" customFormat="1" ht="12.75" x14ac:dyDescent="0.2">
      <c r="A22" s="7">
        <v>15</v>
      </c>
      <c r="B22" s="9">
        <v>44748</v>
      </c>
      <c r="C22" s="9">
        <v>44748</v>
      </c>
      <c r="D22" s="30" t="s">
        <v>113</v>
      </c>
      <c r="E22" s="10" t="s">
        <v>61</v>
      </c>
      <c r="F22" s="7">
        <v>225</v>
      </c>
      <c r="G22" s="7" t="s">
        <v>14</v>
      </c>
      <c r="H22" s="11">
        <v>14.75</v>
      </c>
      <c r="I22" s="14">
        <f t="shared" si="1"/>
        <v>3318.75</v>
      </c>
      <c r="J22" s="31"/>
    </row>
    <row r="23" spans="1:10" s="100" customFormat="1" ht="12.75" x14ac:dyDescent="0.2">
      <c r="A23" s="7">
        <v>16</v>
      </c>
      <c r="B23" s="9">
        <v>43826</v>
      </c>
      <c r="C23" s="9">
        <v>43826</v>
      </c>
      <c r="D23" s="30" t="s">
        <v>114</v>
      </c>
      <c r="E23" s="10" t="s">
        <v>7</v>
      </c>
      <c r="F23" s="7">
        <f>1179-36-1</f>
        <v>1142</v>
      </c>
      <c r="G23" s="7" t="s">
        <v>14</v>
      </c>
      <c r="H23" s="11">
        <v>11.21</v>
      </c>
      <c r="I23" s="14">
        <f t="shared" si="1"/>
        <v>12801.820000000002</v>
      </c>
      <c r="J23" s="94"/>
    </row>
    <row r="24" spans="1:10" s="100" customFormat="1" ht="12.75" x14ac:dyDescent="0.2">
      <c r="A24" s="7">
        <v>17</v>
      </c>
      <c r="B24" s="9">
        <v>43826</v>
      </c>
      <c r="C24" s="9">
        <v>43826</v>
      </c>
      <c r="D24" s="30" t="s">
        <v>115</v>
      </c>
      <c r="E24" s="10" t="s">
        <v>32</v>
      </c>
      <c r="F24" s="7">
        <f>386-18-5</f>
        <v>363</v>
      </c>
      <c r="G24" s="7" t="s">
        <v>14</v>
      </c>
      <c r="H24" s="11">
        <v>31.329000000000001</v>
      </c>
      <c r="I24" s="14">
        <f t="shared" si="1"/>
        <v>11372.427</v>
      </c>
      <c r="J24" s="94"/>
    </row>
    <row r="25" spans="1:10" s="100" customFormat="1" ht="12.75" x14ac:dyDescent="0.2">
      <c r="A25" s="7">
        <v>18</v>
      </c>
      <c r="B25" s="9">
        <v>44748</v>
      </c>
      <c r="C25" s="9">
        <v>44748</v>
      </c>
      <c r="D25" s="30" t="s">
        <v>116</v>
      </c>
      <c r="E25" s="10" t="s">
        <v>62</v>
      </c>
      <c r="F25" s="7">
        <f>156-2</f>
        <v>154</v>
      </c>
      <c r="G25" s="7" t="s">
        <v>14</v>
      </c>
      <c r="H25" s="11">
        <v>34.101999999999997</v>
      </c>
      <c r="I25" s="14">
        <f t="shared" si="1"/>
        <v>5251.7079999999996</v>
      </c>
      <c r="J25" s="94"/>
    </row>
    <row r="26" spans="1:10" s="100" customFormat="1" ht="12.75" x14ac:dyDescent="0.2">
      <c r="A26" s="7">
        <v>19</v>
      </c>
      <c r="B26" s="9">
        <v>43826</v>
      </c>
      <c r="C26" s="9">
        <v>43826</v>
      </c>
      <c r="D26" s="30" t="s">
        <v>117</v>
      </c>
      <c r="E26" s="10" t="s">
        <v>35</v>
      </c>
      <c r="F26" s="7">
        <f>196-1</f>
        <v>195</v>
      </c>
      <c r="G26" s="7" t="s">
        <v>14</v>
      </c>
      <c r="H26" s="11">
        <v>277.3</v>
      </c>
      <c r="I26" s="14">
        <f t="shared" si="1"/>
        <v>54073.5</v>
      </c>
      <c r="J26" s="94"/>
    </row>
    <row r="27" spans="1:10" s="8" customFormat="1" ht="12.75" x14ac:dyDescent="0.2">
      <c r="A27" s="7">
        <v>20</v>
      </c>
      <c r="B27" s="9">
        <v>44166</v>
      </c>
      <c r="C27" s="9">
        <v>44166</v>
      </c>
      <c r="D27" s="30" t="s">
        <v>118</v>
      </c>
      <c r="E27" s="10" t="s">
        <v>63</v>
      </c>
      <c r="F27" s="7">
        <f>250-1-2-9-3-5-8-2-2-9-2-5-10-10-5-25-10-9-4</f>
        <v>129</v>
      </c>
      <c r="G27" s="7" t="s">
        <v>14</v>
      </c>
      <c r="H27" s="11">
        <v>141.6</v>
      </c>
      <c r="I27" s="14">
        <f t="shared" si="1"/>
        <v>18266.399999999998</v>
      </c>
      <c r="J27" s="31"/>
    </row>
    <row r="28" spans="1:10" s="8" customFormat="1" ht="12.75" x14ac:dyDescent="0.2">
      <c r="A28" s="7">
        <v>21</v>
      </c>
      <c r="B28" s="9">
        <v>44748</v>
      </c>
      <c r="C28" s="9">
        <v>44748</v>
      </c>
      <c r="D28" s="30" t="s">
        <v>118</v>
      </c>
      <c r="E28" s="10" t="s">
        <v>63</v>
      </c>
      <c r="F28" s="7">
        <v>250</v>
      </c>
      <c r="G28" s="7" t="s">
        <v>14</v>
      </c>
      <c r="H28" s="11">
        <v>160.36199999999999</v>
      </c>
      <c r="I28" s="14">
        <f t="shared" si="1"/>
        <v>40090.5</v>
      </c>
      <c r="J28" s="31"/>
    </row>
    <row r="29" spans="1:10" s="100" customFormat="1" ht="12.75" x14ac:dyDescent="0.2">
      <c r="A29" s="7">
        <v>22</v>
      </c>
      <c r="B29" s="9">
        <v>43685</v>
      </c>
      <c r="C29" s="9">
        <v>43685</v>
      </c>
      <c r="D29" s="30" t="s">
        <v>119</v>
      </c>
      <c r="E29" s="10" t="s">
        <v>8</v>
      </c>
      <c r="F29" s="7">
        <f>117-4-2-1-3-1-6-1-2-1-1-1-1-5-1-1-1-3-2-6</f>
        <v>74</v>
      </c>
      <c r="G29" s="7" t="s">
        <v>3</v>
      </c>
      <c r="H29" s="11">
        <v>259.60000000000002</v>
      </c>
      <c r="I29" s="14">
        <f t="shared" si="1"/>
        <v>19210.400000000001</v>
      </c>
      <c r="J29" s="94"/>
    </row>
    <row r="30" spans="1:10" s="99" customFormat="1" ht="12.75" x14ac:dyDescent="0.2">
      <c r="A30" s="7">
        <v>23</v>
      </c>
      <c r="B30" s="9">
        <v>44748</v>
      </c>
      <c r="C30" s="9">
        <v>44748</v>
      </c>
      <c r="D30" s="30" t="s">
        <v>119</v>
      </c>
      <c r="E30" s="10" t="s">
        <v>8</v>
      </c>
      <c r="F30" s="7">
        <v>100</v>
      </c>
      <c r="G30" s="7" t="s">
        <v>3</v>
      </c>
      <c r="H30" s="11">
        <v>130.38999999999999</v>
      </c>
      <c r="I30" s="14">
        <f t="shared" si="1"/>
        <v>13038.999999999998</v>
      </c>
      <c r="J30" s="97"/>
    </row>
    <row r="31" spans="1:10" s="8" customFormat="1" ht="12.75" x14ac:dyDescent="0.2">
      <c r="A31" s="7">
        <v>24</v>
      </c>
      <c r="B31" s="9">
        <v>42312</v>
      </c>
      <c r="C31" s="9">
        <v>42312</v>
      </c>
      <c r="D31" s="30" t="s">
        <v>120</v>
      </c>
      <c r="E31" s="10" t="s">
        <v>9</v>
      </c>
      <c r="F31" s="7">
        <v>2</v>
      </c>
      <c r="G31" s="7" t="s">
        <v>14</v>
      </c>
      <c r="H31" s="19">
        <v>660</v>
      </c>
      <c r="I31" s="14">
        <f t="shared" si="1"/>
        <v>1320</v>
      </c>
      <c r="J31" s="31"/>
    </row>
    <row r="32" spans="1:10" s="100" customFormat="1" ht="12.75" x14ac:dyDescent="0.2">
      <c r="A32" s="7">
        <v>25</v>
      </c>
      <c r="B32" s="9">
        <v>44897</v>
      </c>
      <c r="C32" s="9">
        <v>44897</v>
      </c>
      <c r="D32" s="30" t="s">
        <v>264</v>
      </c>
      <c r="E32" s="10" t="s">
        <v>253</v>
      </c>
      <c r="F32" s="7">
        <f>675-13-42-20-30-21-21-14-2</f>
        <v>512</v>
      </c>
      <c r="G32" s="7" t="s">
        <v>14</v>
      </c>
      <c r="H32" s="19">
        <v>490.29</v>
      </c>
      <c r="I32" s="14">
        <f t="shared" si="1"/>
        <v>251028.48000000001</v>
      </c>
      <c r="J32" s="94"/>
    </row>
    <row r="33" spans="1:10" s="100" customFormat="1" ht="12.75" x14ac:dyDescent="0.2">
      <c r="A33" s="7">
        <v>26</v>
      </c>
      <c r="B33" s="9">
        <v>44897</v>
      </c>
      <c r="C33" s="9">
        <v>44897</v>
      </c>
      <c r="D33" s="30" t="s">
        <v>265</v>
      </c>
      <c r="E33" s="10" t="s">
        <v>254</v>
      </c>
      <c r="F33" s="7">
        <f>100-2-9-2-2-2-3</f>
        <v>80</v>
      </c>
      <c r="G33" s="7" t="s">
        <v>14</v>
      </c>
      <c r="H33" s="19">
        <v>706.23</v>
      </c>
      <c r="I33" s="14">
        <f t="shared" si="1"/>
        <v>56498.400000000001</v>
      </c>
      <c r="J33" s="94"/>
    </row>
    <row r="34" spans="1:10" s="99" customFormat="1" ht="12.75" x14ac:dyDescent="0.2">
      <c r="A34" s="7">
        <v>27</v>
      </c>
      <c r="B34" s="9">
        <v>44897</v>
      </c>
      <c r="C34" s="9">
        <v>44897</v>
      </c>
      <c r="D34" s="30" t="s">
        <v>266</v>
      </c>
      <c r="E34" s="10" t="s">
        <v>255</v>
      </c>
      <c r="F34" s="7">
        <f>1150-200</f>
        <v>950</v>
      </c>
      <c r="G34" s="7" t="s">
        <v>3</v>
      </c>
      <c r="H34" s="19">
        <v>156.70400000000001</v>
      </c>
      <c r="I34" s="14">
        <f t="shared" si="1"/>
        <v>148868.80000000002</v>
      </c>
      <c r="J34" s="97"/>
    </row>
    <row r="35" spans="1:10" s="99" customFormat="1" ht="12.75" x14ac:dyDescent="0.2">
      <c r="A35" s="7">
        <v>28</v>
      </c>
      <c r="B35" s="9">
        <v>44897</v>
      </c>
      <c r="C35" s="9">
        <v>44897</v>
      </c>
      <c r="D35" s="30" t="s">
        <v>266</v>
      </c>
      <c r="E35" s="10" t="s">
        <v>256</v>
      </c>
      <c r="F35" s="7">
        <f>1150-200</f>
        <v>950</v>
      </c>
      <c r="G35" s="7" t="s">
        <v>3</v>
      </c>
      <c r="H35" s="19">
        <v>156.70400000000001</v>
      </c>
      <c r="I35" s="14">
        <f t="shared" si="1"/>
        <v>148868.80000000002</v>
      </c>
      <c r="J35" s="97"/>
    </row>
    <row r="36" spans="1:10" s="8" customFormat="1" ht="12.75" x14ac:dyDescent="0.2">
      <c r="A36" s="7">
        <v>29</v>
      </c>
      <c r="B36" s="9">
        <v>42312</v>
      </c>
      <c r="C36" s="9">
        <v>42312</v>
      </c>
      <c r="D36" s="30" t="s">
        <v>121</v>
      </c>
      <c r="E36" s="10" t="s">
        <v>10</v>
      </c>
      <c r="F36" s="7">
        <v>15</v>
      </c>
      <c r="G36" s="7" t="s">
        <v>14</v>
      </c>
      <c r="H36" s="19">
        <v>95.34</v>
      </c>
      <c r="I36" s="14">
        <f t="shared" si="1"/>
        <v>1430.1000000000001</v>
      </c>
      <c r="J36" s="31"/>
    </row>
    <row r="37" spans="1:10" s="8" customFormat="1" ht="12.75" x14ac:dyDescent="0.2">
      <c r="A37" s="7">
        <v>30</v>
      </c>
      <c r="B37" s="22">
        <v>44551</v>
      </c>
      <c r="C37" s="22">
        <v>44551</v>
      </c>
      <c r="D37" s="30" t="s">
        <v>123</v>
      </c>
      <c r="E37" s="23" t="s">
        <v>200</v>
      </c>
      <c r="F37" s="21">
        <v>208</v>
      </c>
      <c r="G37" s="21" t="s">
        <v>14</v>
      </c>
      <c r="H37" s="25">
        <v>67.260000000000005</v>
      </c>
      <c r="I37" s="24">
        <f t="shared" si="1"/>
        <v>13990.080000000002</v>
      </c>
      <c r="J37" s="31"/>
    </row>
    <row r="38" spans="1:10" s="99" customFormat="1" ht="12.75" x14ac:dyDescent="0.2">
      <c r="A38" s="7">
        <v>31</v>
      </c>
      <c r="B38" s="22">
        <v>44748</v>
      </c>
      <c r="C38" s="22">
        <v>44749</v>
      </c>
      <c r="D38" s="30" t="s">
        <v>123</v>
      </c>
      <c r="E38" s="23" t="s">
        <v>200</v>
      </c>
      <c r="F38" s="21">
        <v>300</v>
      </c>
      <c r="G38" s="21" t="s">
        <v>14</v>
      </c>
      <c r="H38" s="25">
        <v>44.25</v>
      </c>
      <c r="I38" s="24">
        <f t="shared" si="1"/>
        <v>13275</v>
      </c>
      <c r="J38" s="97"/>
    </row>
    <row r="39" spans="1:10" s="8" customFormat="1" ht="12.75" x14ac:dyDescent="0.2">
      <c r="A39" s="7">
        <v>32</v>
      </c>
      <c r="B39" s="9">
        <v>44166</v>
      </c>
      <c r="C39" s="9">
        <v>44166</v>
      </c>
      <c r="D39" s="30" t="s">
        <v>122</v>
      </c>
      <c r="E39" s="10" t="s">
        <v>37</v>
      </c>
      <c r="F39" s="7">
        <v>8</v>
      </c>
      <c r="G39" s="7" t="s">
        <v>3</v>
      </c>
      <c r="H39" s="19">
        <v>767</v>
      </c>
      <c r="I39" s="14">
        <f t="shared" si="1"/>
        <v>6136</v>
      </c>
      <c r="J39" s="31"/>
    </row>
    <row r="40" spans="1:10" s="99" customFormat="1" ht="12.75" x14ac:dyDescent="0.2">
      <c r="A40" s="7">
        <v>33</v>
      </c>
      <c r="B40" s="9">
        <v>42312</v>
      </c>
      <c r="C40" s="9">
        <v>42312</v>
      </c>
      <c r="D40" s="30" t="s">
        <v>123</v>
      </c>
      <c r="E40" s="10" t="s">
        <v>11</v>
      </c>
      <c r="F40" s="7">
        <f>68-1-2-9-2-8-2-1</f>
        <v>43</v>
      </c>
      <c r="G40" s="7" t="s">
        <v>14</v>
      </c>
      <c r="H40" s="19">
        <v>425.48</v>
      </c>
      <c r="I40" s="14">
        <f t="shared" si="1"/>
        <v>18295.64</v>
      </c>
      <c r="J40" s="97"/>
    </row>
    <row r="41" spans="1:10" s="100" customFormat="1" ht="12.75" x14ac:dyDescent="0.2">
      <c r="A41" s="7">
        <v>34</v>
      </c>
      <c r="B41" s="9">
        <v>44753</v>
      </c>
      <c r="C41" s="9">
        <v>44753</v>
      </c>
      <c r="D41" s="30" t="s">
        <v>209</v>
      </c>
      <c r="E41" s="10" t="s">
        <v>198</v>
      </c>
      <c r="F41" s="7">
        <f>350-47-43-25-23-31-30-46-34-26-24-3</f>
        <v>18</v>
      </c>
      <c r="G41" s="7" t="s">
        <v>14</v>
      </c>
      <c r="H41" s="11">
        <v>25.9954</v>
      </c>
      <c r="I41" s="14">
        <f t="shared" si="1"/>
        <v>467.91719999999998</v>
      </c>
      <c r="J41" s="94"/>
    </row>
    <row r="42" spans="1:10" s="100" customFormat="1" ht="12.75" x14ac:dyDescent="0.2">
      <c r="A42" s="7">
        <v>35</v>
      </c>
      <c r="B42" s="9">
        <v>44748</v>
      </c>
      <c r="C42" s="9">
        <v>44748</v>
      </c>
      <c r="D42" s="30" t="s">
        <v>124</v>
      </c>
      <c r="E42" s="10" t="s">
        <v>29</v>
      </c>
      <c r="F42" s="7">
        <f>1227-99-14</f>
        <v>1114</v>
      </c>
      <c r="G42" s="7" t="s">
        <v>3</v>
      </c>
      <c r="H42" s="11">
        <v>9.2083333333000006</v>
      </c>
      <c r="I42" s="14">
        <f t="shared" si="1"/>
        <v>10258.083333296201</v>
      </c>
      <c r="J42" s="94"/>
    </row>
    <row r="43" spans="1:10" s="99" customFormat="1" ht="12.75" x14ac:dyDescent="0.2">
      <c r="A43" s="7">
        <v>36</v>
      </c>
      <c r="B43" s="9">
        <v>44748</v>
      </c>
      <c r="C43" s="9">
        <v>44748</v>
      </c>
      <c r="D43" s="30" t="s">
        <v>233</v>
      </c>
      <c r="E43" s="10" t="s">
        <v>232</v>
      </c>
      <c r="F43" s="7">
        <f>20-1-3-1</f>
        <v>15</v>
      </c>
      <c r="G43" s="7" t="s">
        <v>3</v>
      </c>
      <c r="H43" s="11">
        <v>476.13</v>
      </c>
      <c r="I43" s="14">
        <f t="shared" si="1"/>
        <v>7141.95</v>
      </c>
      <c r="J43" s="97"/>
    </row>
    <row r="44" spans="1:10" s="99" customFormat="1" ht="12.75" x14ac:dyDescent="0.2">
      <c r="A44" s="7">
        <v>37</v>
      </c>
      <c r="B44" s="9">
        <v>44166</v>
      </c>
      <c r="C44" s="9">
        <v>44166</v>
      </c>
      <c r="D44" s="30" t="s">
        <v>125</v>
      </c>
      <c r="E44" s="10" t="s">
        <v>68</v>
      </c>
      <c r="F44" s="7">
        <v>130</v>
      </c>
      <c r="G44" s="7" t="s">
        <v>3</v>
      </c>
      <c r="H44" s="11">
        <v>218.3</v>
      </c>
      <c r="I44" s="14">
        <f t="shared" si="1"/>
        <v>28379</v>
      </c>
      <c r="J44" s="97"/>
    </row>
    <row r="45" spans="1:10" s="100" customFormat="1" ht="12.75" x14ac:dyDescent="0.2">
      <c r="A45" s="7">
        <v>38</v>
      </c>
      <c r="B45" s="9">
        <v>44166</v>
      </c>
      <c r="C45" s="9">
        <v>44166</v>
      </c>
      <c r="D45" s="30" t="s">
        <v>126</v>
      </c>
      <c r="E45" s="10" t="s">
        <v>171</v>
      </c>
      <c r="F45" s="7">
        <f>1449-19-1</f>
        <v>1429</v>
      </c>
      <c r="G45" s="7" t="s">
        <v>3</v>
      </c>
      <c r="H45" s="19">
        <v>78.666666000000006</v>
      </c>
      <c r="I45" s="14">
        <f t="shared" si="1"/>
        <v>112414.665714</v>
      </c>
      <c r="J45" s="94"/>
    </row>
    <row r="46" spans="1:10" s="100" customFormat="1" ht="12.75" x14ac:dyDescent="0.2">
      <c r="A46" s="7">
        <v>39</v>
      </c>
      <c r="B46" s="9">
        <v>44551</v>
      </c>
      <c r="C46" s="9">
        <v>44551</v>
      </c>
      <c r="D46" s="127" t="s">
        <v>127</v>
      </c>
      <c r="E46" s="10" t="s">
        <v>43</v>
      </c>
      <c r="F46" s="7">
        <f>62-6</f>
        <v>56</v>
      </c>
      <c r="G46" s="7" t="s">
        <v>3</v>
      </c>
      <c r="H46" s="11">
        <v>48.38</v>
      </c>
      <c r="I46" s="14">
        <f t="shared" si="1"/>
        <v>2709.28</v>
      </c>
      <c r="J46" s="94"/>
    </row>
    <row r="47" spans="1:10" s="100" customFormat="1" ht="12.75" x14ac:dyDescent="0.2">
      <c r="A47" s="7">
        <v>40</v>
      </c>
      <c r="B47" s="9">
        <v>44753</v>
      </c>
      <c r="C47" s="9">
        <v>44753</v>
      </c>
      <c r="D47" s="30" t="s">
        <v>128</v>
      </c>
      <c r="E47" s="10" t="s">
        <v>196</v>
      </c>
      <c r="F47" s="7">
        <f>300-31-41-32-7</f>
        <v>189</v>
      </c>
      <c r="G47" s="7" t="s">
        <v>3</v>
      </c>
      <c r="H47" s="11">
        <v>45.996400000000001</v>
      </c>
      <c r="I47" s="14">
        <f t="shared" si="1"/>
        <v>8693.3196000000007</v>
      </c>
      <c r="J47" s="94"/>
    </row>
    <row r="48" spans="1:10" s="8" customFormat="1" ht="12.75" x14ac:dyDescent="0.2">
      <c r="A48" s="7">
        <v>41</v>
      </c>
      <c r="B48" s="9">
        <v>44518</v>
      </c>
      <c r="C48" s="9">
        <v>44518</v>
      </c>
      <c r="D48" s="30" t="s">
        <v>129</v>
      </c>
      <c r="E48" s="10" t="s">
        <v>172</v>
      </c>
      <c r="F48" s="7">
        <f>12-1-1-2-1-1-2</f>
        <v>4</v>
      </c>
      <c r="G48" s="7" t="s">
        <v>3</v>
      </c>
      <c r="H48" s="11">
        <v>899.75</v>
      </c>
      <c r="I48" s="14">
        <f>H48*F48</f>
        <v>3599</v>
      </c>
      <c r="J48" s="31"/>
    </row>
    <row r="49" spans="1:10" s="8" customFormat="1" ht="12.75" x14ac:dyDescent="0.2">
      <c r="A49" s="7">
        <v>42</v>
      </c>
      <c r="B49" s="9">
        <v>44518</v>
      </c>
      <c r="C49" s="9">
        <v>44518</v>
      </c>
      <c r="D49" s="30" t="s">
        <v>129</v>
      </c>
      <c r="E49" s="10" t="s">
        <v>173</v>
      </c>
      <c r="F49" s="7">
        <f>12-1-2-1-2</f>
        <v>6</v>
      </c>
      <c r="G49" s="7" t="s">
        <v>3</v>
      </c>
      <c r="H49" s="11">
        <v>1172.625</v>
      </c>
      <c r="I49" s="14">
        <f>H49*F49</f>
        <v>7035.75</v>
      </c>
      <c r="J49" s="31"/>
    </row>
    <row r="50" spans="1:10" s="99" customFormat="1" ht="12.75" x14ac:dyDescent="0.2">
      <c r="A50" s="7">
        <v>43</v>
      </c>
      <c r="B50" s="9">
        <v>43329</v>
      </c>
      <c r="C50" s="9">
        <v>43329</v>
      </c>
      <c r="D50" s="30" t="s">
        <v>129</v>
      </c>
      <c r="E50" s="10" t="s">
        <v>28</v>
      </c>
      <c r="F50" s="7">
        <f>36-1</f>
        <v>35</v>
      </c>
      <c r="G50" s="7" t="s">
        <v>15</v>
      </c>
      <c r="H50" s="19">
        <v>283.91000000000003</v>
      </c>
      <c r="I50" s="14">
        <f t="shared" ref="I50:I70" si="2">+F50*H50</f>
        <v>9936.85</v>
      </c>
      <c r="J50" s="97"/>
    </row>
    <row r="51" spans="1:10" s="100" customFormat="1" ht="12.75" x14ac:dyDescent="0.2">
      <c r="A51" s="7">
        <v>44</v>
      </c>
      <c r="B51" s="9">
        <v>45014</v>
      </c>
      <c r="C51" s="9">
        <v>45014</v>
      </c>
      <c r="D51" s="30" t="s">
        <v>275</v>
      </c>
      <c r="E51" s="10" t="s">
        <v>276</v>
      </c>
      <c r="F51" s="7">
        <f>5000-365-308-190-39</f>
        <v>4098</v>
      </c>
      <c r="G51" s="7" t="s">
        <v>15</v>
      </c>
      <c r="H51" s="19">
        <v>299.36599999999999</v>
      </c>
      <c r="I51" s="14">
        <f t="shared" si="2"/>
        <v>1226801.868</v>
      </c>
      <c r="J51" s="94"/>
    </row>
    <row r="52" spans="1:10" s="100" customFormat="1" ht="12.75" x14ac:dyDescent="0.2">
      <c r="A52" s="7">
        <v>45</v>
      </c>
      <c r="B52" s="9">
        <v>44518</v>
      </c>
      <c r="C52" s="9">
        <v>44518</v>
      </c>
      <c r="D52" s="30" t="s">
        <v>174</v>
      </c>
      <c r="E52" s="10" t="s">
        <v>175</v>
      </c>
      <c r="F52" s="7">
        <f>1000-25-21-16-30-36-24-18-42-22-27-32-28-44-19-69-30-99-41-46-33-4</f>
        <v>294</v>
      </c>
      <c r="G52" s="7" t="s">
        <v>15</v>
      </c>
      <c r="H52" s="19">
        <v>295.88499999999999</v>
      </c>
      <c r="I52" s="14">
        <f t="shared" si="2"/>
        <v>86990.19</v>
      </c>
      <c r="J52" s="94"/>
    </row>
    <row r="53" spans="1:10" s="8" customFormat="1" ht="12.75" x14ac:dyDescent="0.2">
      <c r="A53" s="7">
        <v>46</v>
      </c>
      <c r="B53" s="9">
        <v>44761</v>
      </c>
      <c r="C53" s="9">
        <v>44761</v>
      </c>
      <c r="D53" s="30" t="s">
        <v>174</v>
      </c>
      <c r="E53" s="10" t="s">
        <v>175</v>
      </c>
      <c r="F53" s="7">
        <v>1100</v>
      </c>
      <c r="G53" s="7" t="s">
        <v>15</v>
      </c>
      <c r="H53" s="19">
        <v>402.99360000000001</v>
      </c>
      <c r="I53" s="14">
        <f t="shared" si="2"/>
        <v>443292.96</v>
      </c>
      <c r="J53" s="31"/>
    </row>
    <row r="54" spans="1:10" s="100" customFormat="1" ht="12.75" x14ac:dyDescent="0.2">
      <c r="A54" s="7">
        <v>47</v>
      </c>
      <c r="B54" s="9">
        <v>44166</v>
      </c>
      <c r="C54" s="9">
        <v>44166</v>
      </c>
      <c r="D54" s="30" t="s">
        <v>130</v>
      </c>
      <c r="E54" s="10" t="s">
        <v>65</v>
      </c>
      <c r="F54" s="7">
        <f>250-9-4-3-2-3-3-2-2-2-2-8-3-5-1-5-1-6-3-2-1-3-32-4-5-2-3-2</f>
        <v>132</v>
      </c>
      <c r="G54" s="7" t="s">
        <v>3</v>
      </c>
      <c r="H54" s="11">
        <v>436.6</v>
      </c>
      <c r="I54" s="14">
        <f t="shared" si="2"/>
        <v>57631.200000000004</v>
      </c>
      <c r="J54" s="94"/>
    </row>
    <row r="55" spans="1:10" s="99" customFormat="1" ht="12.75" x14ac:dyDescent="0.2">
      <c r="A55" s="7">
        <v>48</v>
      </c>
      <c r="B55" s="9">
        <v>44748</v>
      </c>
      <c r="C55" s="9">
        <v>44748</v>
      </c>
      <c r="D55" s="30" t="s">
        <v>130</v>
      </c>
      <c r="E55" s="10" t="s">
        <v>65</v>
      </c>
      <c r="F55" s="7">
        <v>142</v>
      </c>
      <c r="G55" s="7" t="s">
        <v>3</v>
      </c>
      <c r="H55" s="11">
        <v>305.02999999999997</v>
      </c>
      <c r="I55" s="14">
        <f t="shared" si="2"/>
        <v>43314.259999999995</v>
      </c>
      <c r="J55" s="97"/>
    </row>
    <row r="56" spans="1:10" s="99" customFormat="1" ht="12.75" x14ac:dyDescent="0.2">
      <c r="A56" s="7">
        <v>49</v>
      </c>
      <c r="B56" s="9">
        <v>44166</v>
      </c>
      <c r="C56" s="9">
        <v>44166</v>
      </c>
      <c r="D56" s="30" t="s">
        <v>131</v>
      </c>
      <c r="E56" s="10" t="s">
        <v>66</v>
      </c>
      <c r="F56" s="7">
        <f>10-1</f>
        <v>9</v>
      </c>
      <c r="G56" s="7" t="s">
        <v>3</v>
      </c>
      <c r="H56" s="11">
        <v>554.6</v>
      </c>
      <c r="I56" s="14">
        <f t="shared" si="2"/>
        <v>4991.4000000000005</v>
      </c>
      <c r="J56" s="97"/>
    </row>
    <row r="57" spans="1:10" s="100" customFormat="1" ht="12.75" x14ac:dyDescent="0.2">
      <c r="A57" s="7">
        <v>50</v>
      </c>
      <c r="B57" s="9">
        <v>44166</v>
      </c>
      <c r="C57" s="9">
        <v>44166</v>
      </c>
      <c r="D57" s="30" t="s">
        <v>132</v>
      </c>
      <c r="E57" s="10" t="s">
        <v>38</v>
      </c>
      <c r="F57" s="7">
        <f>200-5-2-2-1-3-1-1-3-3-4-2-38-10-3-3-3</f>
        <v>116</v>
      </c>
      <c r="G57" s="7" t="s">
        <v>3</v>
      </c>
      <c r="H57" s="11">
        <v>47.2</v>
      </c>
      <c r="I57" s="14">
        <f t="shared" si="2"/>
        <v>5475.2000000000007</v>
      </c>
      <c r="J57" s="94"/>
    </row>
    <row r="58" spans="1:10" s="99" customFormat="1" ht="12.75" x14ac:dyDescent="0.2">
      <c r="A58" s="7">
        <v>51</v>
      </c>
      <c r="B58" s="9">
        <v>44748</v>
      </c>
      <c r="C58" s="9">
        <v>44748</v>
      </c>
      <c r="D58" s="30" t="s">
        <v>132</v>
      </c>
      <c r="E58" s="10" t="s">
        <v>38</v>
      </c>
      <c r="F58" s="7">
        <v>150</v>
      </c>
      <c r="G58" s="7" t="s">
        <v>3</v>
      </c>
      <c r="H58" s="11">
        <v>40.71</v>
      </c>
      <c r="I58" s="14">
        <f t="shared" si="2"/>
        <v>6106.5</v>
      </c>
      <c r="J58" s="97"/>
    </row>
    <row r="59" spans="1:10" s="100" customFormat="1" ht="12.75" x14ac:dyDescent="0.2">
      <c r="A59" s="7">
        <v>52</v>
      </c>
      <c r="B59" s="9">
        <v>44166</v>
      </c>
      <c r="C59" s="9">
        <v>44166</v>
      </c>
      <c r="D59" s="30" t="s">
        <v>133</v>
      </c>
      <c r="E59" s="10" t="s">
        <v>12</v>
      </c>
      <c r="F59" s="7">
        <f>200-1-2-4-8-5-1-5-1-5-3-1-2-2-4-9-4-4-9-5-7-3-3-58-10-5-1-1-2</f>
        <v>35</v>
      </c>
      <c r="G59" s="7" t="s">
        <v>3</v>
      </c>
      <c r="H59" s="11">
        <v>100.3</v>
      </c>
      <c r="I59" s="14">
        <f t="shared" si="2"/>
        <v>3510.5</v>
      </c>
      <c r="J59" s="94"/>
    </row>
    <row r="60" spans="1:10" s="99" customFormat="1" ht="12.75" x14ac:dyDescent="0.2">
      <c r="A60" s="7">
        <v>53</v>
      </c>
      <c r="B60" s="9">
        <v>44748</v>
      </c>
      <c r="C60" s="9">
        <v>44748</v>
      </c>
      <c r="D60" s="30" t="s">
        <v>133</v>
      </c>
      <c r="E60" s="10" t="s">
        <v>12</v>
      </c>
      <c r="F60" s="7">
        <v>150</v>
      </c>
      <c r="G60" s="7" t="s">
        <v>3</v>
      </c>
      <c r="H60" s="11">
        <v>51.33</v>
      </c>
      <c r="I60" s="14">
        <f t="shared" si="2"/>
        <v>7699.5</v>
      </c>
      <c r="J60" s="97"/>
    </row>
    <row r="61" spans="1:10" s="100" customFormat="1" ht="12.75" x14ac:dyDescent="0.2">
      <c r="A61" s="7">
        <v>54</v>
      </c>
      <c r="B61" s="9">
        <v>44166</v>
      </c>
      <c r="C61" s="9">
        <v>44166</v>
      </c>
      <c r="D61" s="30" t="s">
        <v>134</v>
      </c>
      <c r="E61" s="10" t="s">
        <v>40</v>
      </c>
      <c r="F61" s="7">
        <f>1200-7-28-9-9-10-15-17-11-10-40-30-17-10-6-39-20-21-18-13-7-30-22-37-7-89-50-43-66-70-5-2</f>
        <v>442</v>
      </c>
      <c r="G61" s="7" t="s">
        <v>3</v>
      </c>
      <c r="H61" s="11">
        <v>47.9375</v>
      </c>
      <c r="I61" s="14">
        <f t="shared" si="2"/>
        <v>21188.375</v>
      </c>
      <c r="J61" s="94"/>
    </row>
    <row r="62" spans="1:10" s="100" customFormat="1" ht="12.75" x14ac:dyDescent="0.2">
      <c r="A62" s="7">
        <v>55</v>
      </c>
      <c r="B62" s="9">
        <v>44748</v>
      </c>
      <c r="C62" s="9">
        <v>44748</v>
      </c>
      <c r="D62" s="30" t="s">
        <v>277</v>
      </c>
      <c r="E62" s="10" t="s">
        <v>281</v>
      </c>
      <c r="F62" s="7">
        <f>2039-63-8</f>
        <v>1968</v>
      </c>
      <c r="G62" s="7" t="s">
        <v>3</v>
      </c>
      <c r="H62" s="11">
        <v>29.66</v>
      </c>
      <c r="I62" s="14">
        <f t="shared" si="2"/>
        <v>58370.879999999997</v>
      </c>
      <c r="J62" s="94"/>
    </row>
    <row r="63" spans="1:10" s="99" customFormat="1" ht="12.75" x14ac:dyDescent="0.2">
      <c r="A63" s="7">
        <v>56</v>
      </c>
      <c r="B63" s="9">
        <v>44753</v>
      </c>
      <c r="C63" s="9">
        <v>44753</v>
      </c>
      <c r="D63" s="30" t="s">
        <v>135</v>
      </c>
      <c r="E63" s="10" t="s">
        <v>33</v>
      </c>
      <c r="F63" s="7">
        <f>300-51-27-25-34-15-15-41-2</f>
        <v>90</v>
      </c>
      <c r="G63" s="7" t="s">
        <v>3</v>
      </c>
      <c r="H63" s="11">
        <v>22.372800000000002</v>
      </c>
      <c r="I63" s="14">
        <f t="shared" si="2"/>
        <v>2013.5520000000001</v>
      </c>
      <c r="J63" s="97"/>
    </row>
    <row r="64" spans="1:10" s="100" customFormat="1" ht="12.75" x14ac:dyDescent="0.2">
      <c r="A64" s="7">
        <v>57</v>
      </c>
      <c r="B64" s="9">
        <v>44748</v>
      </c>
      <c r="C64" s="9">
        <v>44748</v>
      </c>
      <c r="D64" s="30" t="s">
        <v>136</v>
      </c>
      <c r="E64" s="10" t="s">
        <v>24</v>
      </c>
      <c r="F64" s="7">
        <f>75-2-5-7-3-7-3</f>
        <v>48</v>
      </c>
      <c r="G64" s="7" t="s">
        <v>3</v>
      </c>
      <c r="H64" s="11">
        <v>30.443999999999999</v>
      </c>
      <c r="I64" s="14">
        <f t="shared" si="2"/>
        <v>1461.3119999999999</v>
      </c>
      <c r="J64" s="94"/>
    </row>
    <row r="65" spans="1:10" s="100" customFormat="1" ht="12.75" x14ac:dyDescent="0.2">
      <c r="A65" s="7">
        <v>58</v>
      </c>
      <c r="B65" s="9">
        <v>44753</v>
      </c>
      <c r="C65" s="9">
        <v>44753</v>
      </c>
      <c r="D65" s="30" t="s">
        <v>211</v>
      </c>
      <c r="E65" s="10" t="s">
        <v>197</v>
      </c>
      <c r="F65" s="7">
        <f>100-3-2</f>
        <v>95</v>
      </c>
      <c r="G65" s="7" t="s">
        <v>3</v>
      </c>
      <c r="H65" s="11">
        <v>17.640999999999998</v>
      </c>
      <c r="I65" s="14">
        <f t="shared" si="2"/>
        <v>1675.8949999999998</v>
      </c>
      <c r="J65" s="94"/>
    </row>
    <row r="66" spans="1:10" s="100" customFormat="1" ht="12.75" x14ac:dyDescent="0.2">
      <c r="A66" s="7">
        <v>59</v>
      </c>
      <c r="B66" s="9">
        <v>44166</v>
      </c>
      <c r="C66" s="9">
        <v>44166</v>
      </c>
      <c r="D66" s="30" t="s">
        <v>137</v>
      </c>
      <c r="E66" s="10" t="s">
        <v>36</v>
      </c>
      <c r="F66" s="7">
        <f>310+24-6-3-9-2-8-11-3-5-6-5-25-13-22-28-15-4</f>
        <v>169</v>
      </c>
      <c r="G66" s="7" t="s">
        <v>3</v>
      </c>
      <c r="H66" s="19">
        <v>5.9</v>
      </c>
      <c r="I66" s="14">
        <f t="shared" si="2"/>
        <v>997.1</v>
      </c>
      <c r="J66" s="94"/>
    </row>
    <row r="67" spans="1:10" s="99" customFormat="1" ht="12.75" x14ac:dyDescent="0.2">
      <c r="A67" s="7">
        <v>60</v>
      </c>
      <c r="B67" s="9">
        <v>44748</v>
      </c>
      <c r="C67" s="9">
        <v>44748</v>
      </c>
      <c r="D67" s="30" t="s">
        <v>137</v>
      </c>
      <c r="E67" s="10" t="s">
        <v>36</v>
      </c>
      <c r="F67" s="7">
        <v>200</v>
      </c>
      <c r="G67" s="7" t="s">
        <v>3</v>
      </c>
      <c r="H67" s="11">
        <v>5.31</v>
      </c>
      <c r="I67" s="14">
        <f t="shared" si="2"/>
        <v>1062</v>
      </c>
      <c r="J67" s="97"/>
    </row>
    <row r="68" spans="1:10" s="100" customFormat="1" ht="12.75" x14ac:dyDescent="0.2">
      <c r="A68" s="7">
        <v>61</v>
      </c>
      <c r="B68" s="9">
        <v>44173</v>
      </c>
      <c r="C68" s="9">
        <v>44173</v>
      </c>
      <c r="D68" s="30" t="s">
        <v>138</v>
      </c>
      <c r="E68" s="10" t="s">
        <v>60</v>
      </c>
      <c r="F68" s="7">
        <f>5000-793-250</f>
        <v>3957</v>
      </c>
      <c r="G68" s="7" t="s">
        <v>3</v>
      </c>
      <c r="H68" s="11">
        <v>4.8097000000000003</v>
      </c>
      <c r="I68" s="14">
        <f t="shared" si="2"/>
        <v>19031.982900000003</v>
      </c>
      <c r="J68" s="94"/>
    </row>
    <row r="69" spans="1:10" s="100" customFormat="1" ht="12.75" x14ac:dyDescent="0.2">
      <c r="A69" s="7">
        <v>62</v>
      </c>
      <c r="B69" s="9">
        <v>44748</v>
      </c>
      <c r="C69" s="9">
        <v>44749</v>
      </c>
      <c r="D69" s="30" t="s">
        <v>210</v>
      </c>
      <c r="E69" s="10" t="s">
        <v>199</v>
      </c>
      <c r="F69" s="7">
        <f>100-8-6-3-11</f>
        <v>72</v>
      </c>
      <c r="G69" s="7" t="s">
        <v>3</v>
      </c>
      <c r="H69" s="11">
        <v>395.89</v>
      </c>
      <c r="I69" s="14">
        <f t="shared" si="2"/>
        <v>28504.079999999998</v>
      </c>
      <c r="J69" s="94"/>
    </row>
    <row r="70" spans="1:10" s="8" customFormat="1" ht="12.75" x14ac:dyDescent="0.2">
      <c r="A70" s="7">
        <v>63</v>
      </c>
      <c r="B70" s="9">
        <v>40500</v>
      </c>
      <c r="C70" s="9">
        <v>40500</v>
      </c>
      <c r="D70" s="30" t="s">
        <v>139</v>
      </c>
      <c r="E70" s="10" t="s">
        <v>45</v>
      </c>
      <c r="F70" s="7">
        <f>417-7-6-5-6-5-10-13-18-6-6-6-11-6-4-5-7-6-6-6-6-6-7-5-6-5-6-5-12-8</f>
        <v>212</v>
      </c>
      <c r="G70" s="7" t="s">
        <v>3</v>
      </c>
      <c r="H70" s="11">
        <v>55</v>
      </c>
      <c r="I70" s="14">
        <f t="shared" si="2"/>
        <v>11660</v>
      </c>
      <c r="J70" s="31"/>
    </row>
    <row r="71" spans="1:10" s="100" customFormat="1" ht="12.75" x14ac:dyDescent="0.2">
      <c r="A71" s="7">
        <v>64</v>
      </c>
      <c r="B71" s="9" t="s">
        <v>44</v>
      </c>
      <c r="C71" s="9" t="s">
        <v>44</v>
      </c>
      <c r="D71" s="30" t="s">
        <v>140</v>
      </c>
      <c r="E71" s="10" t="s">
        <v>48</v>
      </c>
      <c r="F71" s="7">
        <f>516-14-5-9-6-6-11-7-6-9-3-7-6-6-10-10-8-6-7-5-6-9-15-10-7-16-4-23-7-6-16-6-7-2</f>
        <v>241</v>
      </c>
      <c r="G71" s="7" t="s">
        <v>3</v>
      </c>
      <c r="H71" s="11">
        <v>110.92</v>
      </c>
      <c r="I71" s="14">
        <f>F71*H71</f>
        <v>26731.72</v>
      </c>
      <c r="J71" s="94"/>
    </row>
    <row r="72" spans="1:10" s="100" customFormat="1" ht="12.75" x14ac:dyDescent="0.2">
      <c r="A72" s="7">
        <v>65</v>
      </c>
      <c r="B72" s="9">
        <v>44748</v>
      </c>
      <c r="C72" s="9">
        <v>44748</v>
      </c>
      <c r="D72" s="30" t="s">
        <v>141</v>
      </c>
      <c r="E72" s="10" t="s">
        <v>50</v>
      </c>
      <c r="F72" s="7">
        <f>100-8-6-2-4</f>
        <v>80</v>
      </c>
      <c r="G72" s="7" t="s">
        <v>3</v>
      </c>
      <c r="H72" s="11">
        <v>77.644000000000005</v>
      </c>
      <c r="I72" s="14">
        <f>F72*H72</f>
        <v>6211.52</v>
      </c>
      <c r="J72" s="94"/>
    </row>
    <row r="73" spans="1:10" s="100" customFormat="1" ht="12.75" x14ac:dyDescent="0.2">
      <c r="A73" s="7">
        <v>66</v>
      </c>
      <c r="B73" s="9">
        <v>44753</v>
      </c>
      <c r="C73" s="9">
        <v>44753</v>
      </c>
      <c r="D73" s="30" t="s">
        <v>142</v>
      </c>
      <c r="E73" s="10" t="s">
        <v>34</v>
      </c>
      <c r="F73" s="7">
        <f>150-10-10-33-15-22-3-1-3</f>
        <v>53</v>
      </c>
      <c r="G73" s="7" t="s">
        <v>3</v>
      </c>
      <c r="H73" s="11">
        <v>45.559800000000003</v>
      </c>
      <c r="I73" s="14">
        <f>F73*H73</f>
        <v>2414.6694000000002</v>
      </c>
      <c r="J73" s="94"/>
    </row>
    <row r="74" spans="1:10" s="8" customFormat="1" ht="12.75" x14ac:dyDescent="0.2">
      <c r="A74" s="7">
        <v>67</v>
      </c>
      <c r="B74" s="9">
        <v>44921</v>
      </c>
      <c r="C74" s="9">
        <v>44921</v>
      </c>
      <c r="D74" s="30" t="s">
        <v>109</v>
      </c>
      <c r="E74" s="10" t="s">
        <v>250</v>
      </c>
      <c r="F74" s="7">
        <v>2</v>
      </c>
      <c r="G74" s="7" t="s">
        <v>3</v>
      </c>
      <c r="H74" s="11">
        <v>4472.2</v>
      </c>
      <c r="I74" s="14">
        <f t="shared" ref="I74:I76" si="3">F74*H74</f>
        <v>8944.4</v>
      </c>
      <c r="J74" s="31"/>
    </row>
    <row r="75" spans="1:10" s="8" customFormat="1" ht="12.75" x14ac:dyDescent="0.2">
      <c r="A75" s="7">
        <v>68</v>
      </c>
      <c r="B75" s="9">
        <v>44921</v>
      </c>
      <c r="C75" s="9">
        <v>44921</v>
      </c>
      <c r="D75" s="30" t="s">
        <v>110</v>
      </c>
      <c r="E75" s="10" t="s">
        <v>251</v>
      </c>
      <c r="F75" s="7">
        <v>2</v>
      </c>
      <c r="G75" s="7" t="s">
        <v>3</v>
      </c>
      <c r="H75" s="11">
        <v>4472.2</v>
      </c>
      <c r="I75" s="14">
        <f t="shared" si="3"/>
        <v>8944.4</v>
      </c>
      <c r="J75" s="31"/>
    </row>
    <row r="76" spans="1:10" s="8" customFormat="1" ht="12.75" x14ac:dyDescent="0.2">
      <c r="A76" s="7">
        <v>69</v>
      </c>
      <c r="B76" s="9">
        <v>44921</v>
      </c>
      <c r="C76" s="9">
        <v>44921</v>
      </c>
      <c r="D76" s="30" t="s">
        <v>267</v>
      </c>
      <c r="E76" s="10" t="s">
        <v>252</v>
      </c>
      <c r="F76" s="7">
        <v>2</v>
      </c>
      <c r="G76" s="7" t="s">
        <v>3</v>
      </c>
      <c r="H76" s="11">
        <v>4472.2</v>
      </c>
      <c r="I76" s="14">
        <f t="shared" si="3"/>
        <v>8944.4</v>
      </c>
      <c r="J76" s="31"/>
    </row>
    <row r="77" spans="1:10" s="100" customFormat="1" ht="12.75" x14ac:dyDescent="0.2">
      <c r="A77" s="7">
        <v>70</v>
      </c>
      <c r="B77" s="9">
        <v>44503</v>
      </c>
      <c r="C77" s="9">
        <v>44503</v>
      </c>
      <c r="D77" s="30" t="s">
        <v>143</v>
      </c>
      <c r="E77" s="10" t="s">
        <v>70</v>
      </c>
      <c r="F77" s="7">
        <f>30-2-2-2-3-2-2-1-1-2-2-2</f>
        <v>9</v>
      </c>
      <c r="G77" s="7" t="s">
        <v>3</v>
      </c>
      <c r="H77" s="11">
        <v>3538.82</v>
      </c>
      <c r="I77" s="14">
        <f t="shared" ref="I77:I114" si="4">F77*H77</f>
        <v>31849.38</v>
      </c>
      <c r="J77" s="94"/>
    </row>
    <row r="78" spans="1:10" s="8" customFormat="1" ht="12.75" x14ac:dyDescent="0.2">
      <c r="A78" s="7">
        <v>71</v>
      </c>
      <c r="B78" s="9">
        <v>44707</v>
      </c>
      <c r="C78" s="9">
        <v>44707</v>
      </c>
      <c r="D78" s="30" t="s">
        <v>143</v>
      </c>
      <c r="E78" s="10" t="s">
        <v>70</v>
      </c>
      <c r="F78" s="7">
        <v>25</v>
      </c>
      <c r="G78" s="7" t="s">
        <v>3</v>
      </c>
      <c r="H78" s="11">
        <v>4804.96</v>
      </c>
      <c r="I78" s="14">
        <f t="shared" si="4"/>
        <v>120124</v>
      </c>
      <c r="J78" s="31"/>
    </row>
    <row r="79" spans="1:10" s="100" customFormat="1" ht="12.75" x14ac:dyDescent="0.2">
      <c r="A79" s="7">
        <v>72</v>
      </c>
      <c r="B79" s="9">
        <v>44503</v>
      </c>
      <c r="C79" s="9">
        <v>44503</v>
      </c>
      <c r="D79" s="9" t="s">
        <v>144</v>
      </c>
      <c r="E79" s="10" t="s">
        <v>71</v>
      </c>
      <c r="F79" s="7">
        <f>46-6-3-1-3-4-5-3-3-3-1-1</f>
        <v>13</v>
      </c>
      <c r="G79" s="7" t="s">
        <v>3</v>
      </c>
      <c r="H79" s="11">
        <v>4468.66</v>
      </c>
      <c r="I79" s="14">
        <f t="shared" si="4"/>
        <v>58092.58</v>
      </c>
      <c r="J79" s="94"/>
    </row>
    <row r="80" spans="1:10" s="8" customFormat="1" ht="12.75" x14ac:dyDescent="0.2">
      <c r="A80" s="7">
        <v>73</v>
      </c>
      <c r="B80" s="9">
        <v>44707</v>
      </c>
      <c r="C80" s="9">
        <v>44707</v>
      </c>
      <c r="D80" s="9" t="s">
        <v>144</v>
      </c>
      <c r="E80" s="10" t="s">
        <v>71</v>
      </c>
      <c r="F80" s="7">
        <v>48</v>
      </c>
      <c r="G80" s="7" t="s">
        <v>3</v>
      </c>
      <c r="H80" s="11">
        <v>4472.2</v>
      </c>
      <c r="I80" s="14">
        <f t="shared" si="4"/>
        <v>214665.59999999998</v>
      </c>
      <c r="J80" s="31"/>
    </row>
    <row r="81" spans="1:10" s="100" customFormat="1" ht="12.75" x14ac:dyDescent="0.2">
      <c r="A81" s="7">
        <v>74</v>
      </c>
      <c r="B81" s="9">
        <v>44503</v>
      </c>
      <c r="C81" s="9">
        <v>44503</v>
      </c>
      <c r="D81" s="9" t="s">
        <v>145</v>
      </c>
      <c r="E81" s="10" t="s">
        <v>72</v>
      </c>
      <c r="F81" s="7">
        <f>15-1-2-1-2-1-1-1-1</f>
        <v>5</v>
      </c>
      <c r="G81" s="7" t="s">
        <v>3</v>
      </c>
      <c r="H81" s="11">
        <v>3557.7</v>
      </c>
      <c r="I81" s="14">
        <f t="shared" si="4"/>
        <v>17788.5</v>
      </c>
      <c r="J81" s="94"/>
    </row>
    <row r="82" spans="1:10" s="8" customFormat="1" ht="12.75" x14ac:dyDescent="0.2">
      <c r="A82" s="7">
        <v>75</v>
      </c>
      <c r="B82" s="9">
        <v>44707</v>
      </c>
      <c r="C82" s="9">
        <v>44707</v>
      </c>
      <c r="D82" s="9" t="s">
        <v>145</v>
      </c>
      <c r="E82" s="10" t="s">
        <v>72</v>
      </c>
      <c r="F82" s="7">
        <v>12</v>
      </c>
      <c r="G82" s="7" t="s">
        <v>3</v>
      </c>
      <c r="H82" s="11">
        <v>4487.54</v>
      </c>
      <c r="I82" s="14">
        <f t="shared" si="4"/>
        <v>53850.479999999996</v>
      </c>
      <c r="J82" s="31"/>
    </row>
    <row r="83" spans="1:10" s="8" customFormat="1" ht="12.75" x14ac:dyDescent="0.2">
      <c r="A83" s="7">
        <v>76</v>
      </c>
      <c r="B83" s="9">
        <v>44707</v>
      </c>
      <c r="C83" s="9">
        <v>44707</v>
      </c>
      <c r="D83" s="9" t="s">
        <v>146</v>
      </c>
      <c r="E83" s="10" t="s">
        <v>73</v>
      </c>
      <c r="F83" s="7">
        <v>2</v>
      </c>
      <c r="G83" s="7" t="s">
        <v>3</v>
      </c>
      <c r="H83" s="11">
        <v>4316.4399999999996</v>
      </c>
      <c r="I83" s="14">
        <f t="shared" si="4"/>
        <v>8632.8799999999992</v>
      </c>
      <c r="J83" s="31"/>
    </row>
    <row r="84" spans="1:10" s="8" customFormat="1" ht="12.75" x14ac:dyDescent="0.2">
      <c r="A84" s="7">
        <v>77</v>
      </c>
      <c r="B84" s="9">
        <v>44921</v>
      </c>
      <c r="C84" s="9">
        <v>44921</v>
      </c>
      <c r="D84" s="9" t="s">
        <v>146</v>
      </c>
      <c r="E84" s="10" t="s">
        <v>73</v>
      </c>
      <c r="F84" s="7">
        <v>5</v>
      </c>
      <c r="G84" s="7" t="s">
        <v>3</v>
      </c>
      <c r="H84" s="11">
        <v>7268.8</v>
      </c>
      <c r="I84" s="14">
        <f t="shared" si="4"/>
        <v>36344</v>
      </c>
      <c r="J84" s="31"/>
    </row>
    <row r="85" spans="1:10" s="100" customFormat="1" ht="12.75" x14ac:dyDescent="0.2">
      <c r="A85" s="7">
        <v>78</v>
      </c>
      <c r="B85" s="9">
        <v>44921</v>
      </c>
      <c r="C85" s="9">
        <v>44921</v>
      </c>
      <c r="D85" s="9" t="s">
        <v>263</v>
      </c>
      <c r="E85" s="10" t="s">
        <v>249</v>
      </c>
      <c r="F85" s="7">
        <f>50-1-2-2-1-3-1</f>
        <v>40</v>
      </c>
      <c r="G85" s="7" t="s">
        <v>3</v>
      </c>
      <c r="H85" s="11">
        <v>8602.2000000000007</v>
      </c>
      <c r="I85" s="14">
        <f t="shared" si="4"/>
        <v>344088</v>
      </c>
      <c r="J85" s="94"/>
    </row>
    <row r="86" spans="1:10" s="100" customFormat="1" ht="12.75" x14ac:dyDescent="0.2">
      <c r="A86" s="7">
        <v>79</v>
      </c>
      <c r="B86" s="9">
        <v>44921</v>
      </c>
      <c r="C86" s="9">
        <v>44921</v>
      </c>
      <c r="D86" s="9" t="s">
        <v>147</v>
      </c>
      <c r="E86" s="10" t="s">
        <v>74</v>
      </c>
      <c r="F86" s="7">
        <f>15-1-1-1</f>
        <v>12</v>
      </c>
      <c r="G86" s="7" t="s">
        <v>3</v>
      </c>
      <c r="H86" s="11">
        <v>11246.58</v>
      </c>
      <c r="I86" s="14">
        <f t="shared" si="4"/>
        <v>134958.96</v>
      </c>
      <c r="J86" s="94"/>
    </row>
    <row r="87" spans="1:10" s="100" customFormat="1" ht="12.75" x14ac:dyDescent="0.2">
      <c r="A87" s="7">
        <v>80</v>
      </c>
      <c r="B87" s="9">
        <v>44921</v>
      </c>
      <c r="C87" s="9">
        <v>44921</v>
      </c>
      <c r="D87" s="30" t="s">
        <v>212</v>
      </c>
      <c r="E87" s="10" t="s">
        <v>75</v>
      </c>
      <c r="F87" s="7">
        <f>300-2-4-10-9-9-4-2-6</f>
        <v>254</v>
      </c>
      <c r="G87" s="7" t="s">
        <v>3</v>
      </c>
      <c r="H87" s="11">
        <v>766.41</v>
      </c>
      <c r="I87" s="14">
        <f t="shared" si="4"/>
        <v>194668.13999999998</v>
      </c>
      <c r="J87" s="94"/>
    </row>
    <row r="88" spans="1:10" s="100" customFormat="1" ht="12.75" x14ac:dyDescent="0.2">
      <c r="A88" s="7">
        <v>81</v>
      </c>
      <c r="B88" s="9">
        <v>44921</v>
      </c>
      <c r="C88" s="9">
        <v>44921</v>
      </c>
      <c r="D88" s="9" t="s">
        <v>148</v>
      </c>
      <c r="E88" s="10" t="s">
        <v>76</v>
      </c>
      <c r="F88" s="7">
        <f>79-1-5-6-3-3-1</f>
        <v>60</v>
      </c>
      <c r="G88" s="7" t="s">
        <v>3</v>
      </c>
      <c r="H88" s="11">
        <v>766.41</v>
      </c>
      <c r="I88" s="14">
        <f t="shared" si="4"/>
        <v>45984.6</v>
      </c>
      <c r="J88" s="94"/>
    </row>
    <row r="89" spans="1:10" s="100" customFormat="1" ht="12.75" x14ac:dyDescent="0.2">
      <c r="A89" s="7">
        <v>82</v>
      </c>
      <c r="B89" s="9">
        <v>44921</v>
      </c>
      <c r="C89" s="9">
        <v>44921</v>
      </c>
      <c r="D89" s="9" t="s">
        <v>149</v>
      </c>
      <c r="E89" s="10" t="s">
        <v>77</v>
      </c>
      <c r="F89" s="7">
        <f>79-1-5-6-3-3-1</f>
        <v>60</v>
      </c>
      <c r="G89" s="7" t="s">
        <v>3</v>
      </c>
      <c r="H89" s="11">
        <v>766.41</v>
      </c>
      <c r="I89" s="14">
        <f t="shared" si="4"/>
        <v>45984.6</v>
      </c>
      <c r="J89" s="94"/>
    </row>
    <row r="90" spans="1:10" s="100" customFormat="1" ht="12.75" x14ac:dyDescent="0.2">
      <c r="A90" s="7">
        <v>83</v>
      </c>
      <c r="B90" s="9">
        <v>44921</v>
      </c>
      <c r="C90" s="9">
        <v>44921</v>
      </c>
      <c r="D90" s="9" t="s">
        <v>150</v>
      </c>
      <c r="E90" s="10" t="s">
        <v>78</v>
      </c>
      <c r="F90" s="7">
        <f>79-1-5-6-3-3-1</f>
        <v>60</v>
      </c>
      <c r="G90" s="7" t="s">
        <v>3</v>
      </c>
      <c r="H90" s="11">
        <v>766.41</v>
      </c>
      <c r="I90" s="14">
        <f t="shared" si="4"/>
        <v>45984.6</v>
      </c>
      <c r="J90" s="94"/>
    </row>
    <row r="91" spans="1:10" s="100" customFormat="1" ht="12.75" x14ac:dyDescent="0.2">
      <c r="A91" s="7">
        <v>84</v>
      </c>
      <c r="B91" s="9">
        <v>44187</v>
      </c>
      <c r="C91" s="9">
        <v>44187</v>
      </c>
      <c r="D91" s="9" t="s">
        <v>151</v>
      </c>
      <c r="E91" s="10" t="s">
        <v>79</v>
      </c>
      <c r="F91" s="7">
        <f>25-2-1-1-1-2-1</f>
        <v>17</v>
      </c>
      <c r="G91" s="7" t="s">
        <v>3</v>
      </c>
      <c r="H91" s="11">
        <v>607.70000000000005</v>
      </c>
      <c r="I91" s="14">
        <f t="shared" si="4"/>
        <v>10330.900000000001</v>
      </c>
      <c r="J91" s="94"/>
    </row>
    <row r="92" spans="1:10" s="8" customFormat="1" ht="12.75" x14ac:dyDescent="0.2">
      <c r="A92" s="7">
        <v>85</v>
      </c>
      <c r="B92" s="9">
        <v>44533</v>
      </c>
      <c r="C92" s="9">
        <v>44533</v>
      </c>
      <c r="D92" s="9" t="s">
        <v>151</v>
      </c>
      <c r="E92" s="10" t="s">
        <v>79</v>
      </c>
      <c r="F92" s="7">
        <v>24</v>
      </c>
      <c r="G92" s="7" t="s">
        <v>3</v>
      </c>
      <c r="H92" s="11">
        <v>572.29999999999995</v>
      </c>
      <c r="I92" s="14">
        <f t="shared" si="4"/>
        <v>13735.199999999999</v>
      </c>
      <c r="J92" s="31"/>
    </row>
    <row r="93" spans="1:10" s="8" customFormat="1" ht="12.75" x14ac:dyDescent="0.2">
      <c r="A93" s="7">
        <v>86</v>
      </c>
      <c r="B93" s="9">
        <v>44707</v>
      </c>
      <c r="C93" s="9">
        <v>44707</v>
      </c>
      <c r="D93" s="9" t="s">
        <v>151</v>
      </c>
      <c r="E93" s="10" t="s">
        <v>79</v>
      </c>
      <c r="F93" s="7">
        <v>20</v>
      </c>
      <c r="G93" s="7" t="s">
        <v>3</v>
      </c>
      <c r="H93" s="11">
        <v>601.79999999999995</v>
      </c>
      <c r="I93" s="14">
        <f t="shared" si="4"/>
        <v>12036</v>
      </c>
      <c r="J93" s="31"/>
    </row>
    <row r="94" spans="1:10" s="100" customFormat="1" ht="12.75" x14ac:dyDescent="0.2">
      <c r="A94" s="7">
        <v>87</v>
      </c>
      <c r="B94" s="9">
        <v>44187</v>
      </c>
      <c r="C94" s="9">
        <v>44187</v>
      </c>
      <c r="D94" s="9" t="s">
        <v>152</v>
      </c>
      <c r="E94" s="10" t="s">
        <v>80</v>
      </c>
      <c r="F94" s="7">
        <f>15-1-1-2-1</f>
        <v>10</v>
      </c>
      <c r="G94" s="7" t="s">
        <v>3</v>
      </c>
      <c r="H94" s="11">
        <v>607.70000000000005</v>
      </c>
      <c r="I94" s="14">
        <f t="shared" si="4"/>
        <v>6077</v>
      </c>
      <c r="J94" s="94"/>
    </row>
    <row r="95" spans="1:10" s="8" customFormat="1" ht="12.75" x14ac:dyDescent="0.2">
      <c r="A95" s="7">
        <v>88</v>
      </c>
      <c r="B95" s="9">
        <v>44533</v>
      </c>
      <c r="C95" s="9">
        <v>44533</v>
      </c>
      <c r="D95" s="9" t="s">
        <v>152</v>
      </c>
      <c r="E95" s="10" t="s">
        <v>80</v>
      </c>
      <c r="F95" s="7">
        <v>16</v>
      </c>
      <c r="G95" s="7" t="s">
        <v>3</v>
      </c>
      <c r="H95" s="11">
        <v>572.29999999999995</v>
      </c>
      <c r="I95" s="14">
        <f t="shared" si="4"/>
        <v>9156.7999999999993</v>
      </c>
      <c r="J95" s="31"/>
    </row>
    <row r="96" spans="1:10" s="8" customFormat="1" ht="12.75" x14ac:dyDescent="0.2">
      <c r="A96" s="7">
        <v>89</v>
      </c>
      <c r="B96" s="9">
        <v>44707</v>
      </c>
      <c r="C96" s="9">
        <v>44707</v>
      </c>
      <c r="D96" s="9" t="s">
        <v>152</v>
      </c>
      <c r="E96" s="10" t="s">
        <v>80</v>
      </c>
      <c r="F96" s="7">
        <v>20</v>
      </c>
      <c r="G96" s="7" t="s">
        <v>3</v>
      </c>
      <c r="H96" s="11">
        <v>601.79999999999995</v>
      </c>
      <c r="I96" s="14">
        <f t="shared" si="4"/>
        <v>12036</v>
      </c>
      <c r="J96" s="31"/>
    </row>
    <row r="97" spans="1:11" s="100" customFormat="1" ht="12.75" x14ac:dyDescent="0.2">
      <c r="A97" s="7">
        <v>90</v>
      </c>
      <c r="B97" s="9">
        <v>44187</v>
      </c>
      <c r="C97" s="9">
        <v>44187</v>
      </c>
      <c r="D97" s="9" t="s">
        <v>153</v>
      </c>
      <c r="E97" s="10" t="s">
        <v>82</v>
      </c>
      <c r="F97" s="7">
        <f>15-1-1-2-1</f>
        <v>10</v>
      </c>
      <c r="G97" s="7" t="s">
        <v>3</v>
      </c>
      <c r="H97" s="11">
        <v>607.70000000000005</v>
      </c>
      <c r="I97" s="14">
        <f t="shared" si="4"/>
        <v>6077</v>
      </c>
      <c r="J97" s="94"/>
    </row>
    <row r="98" spans="1:11" s="8" customFormat="1" ht="12.75" x14ac:dyDescent="0.2">
      <c r="A98" s="7">
        <v>91</v>
      </c>
      <c r="B98" s="9">
        <v>44533</v>
      </c>
      <c r="C98" s="9">
        <v>44533</v>
      </c>
      <c r="D98" s="9" t="s">
        <v>153</v>
      </c>
      <c r="E98" s="10" t="s">
        <v>82</v>
      </c>
      <c r="F98" s="7">
        <v>16</v>
      </c>
      <c r="G98" s="7" t="s">
        <v>3</v>
      </c>
      <c r="H98" s="11">
        <v>572.29999999999995</v>
      </c>
      <c r="I98" s="14">
        <f t="shared" si="4"/>
        <v>9156.7999999999993</v>
      </c>
      <c r="J98" s="31"/>
    </row>
    <row r="99" spans="1:11" s="8" customFormat="1" ht="12.75" x14ac:dyDescent="0.2">
      <c r="A99" s="7">
        <v>92</v>
      </c>
      <c r="B99" s="9">
        <v>44707</v>
      </c>
      <c r="C99" s="9">
        <v>44707</v>
      </c>
      <c r="D99" s="9" t="s">
        <v>153</v>
      </c>
      <c r="E99" s="10" t="s">
        <v>82</v>
      </c>
      <c r="F99" s="7">
        <v>20</v>
      </c>
      <c r="G99" s="7" t="s">
        <v>3</v>
      </c>
      <c r="H99" s="11">
        <v>601.79999999999995</v>
      </c>
      <c r="I99" s="14">
        <f t="shared" si="4"/>
        <v>12036</v>
      </c>
      <c r="J99" s="31"/>
    </row>
    <row r="100" spans="1:11" s="100" customFormat="1" ht="12.75" x14ac:dyDescent="0.2">
      <c r="A100" s="7">
        <v>93</v>
      </c>
      <c r="B100" s="9">
        <v>44187</v>
      </c>
      <c r="C100" s="9">
        <v>44187</v>
      </c>
      <c r="D100" s="9" t="s">
        <v>154</v>
      </c>
      <c r="E100" s="10" t="s">
        <v>81</v>
      </c>
      <c r="F100" s="7">
        <f>15-1-1-2-1</f>
        <v>10</v>
      </c>
      <c r="G100" s="7" t="s">
        <v>3</v>
      </c>
      <c r="H100" s="11">
        <v>607.70000000000005</v>
      </c>
      <c r="I100" s="14">
        <f t="shared" si="4"/>
        <v>6077</v>
      </c>
      <c r="J100" s="94"/>
      <c r="K100" s="138"/>
    </row>
    <row r="101" spans="1:11" s="8" customFormat="1" ht="12.75" x14ac:dyDescent="0.2">
      <c r="A101" s="7">
        <v>94</v>
      </c>
      <c r="B101" s="9">
        <v>44533</v>
      </c>
      <c r="C101" s="9">
        <v>44533</v>
      </c>
      <c r="D101" s="9" t="s">
        <v>154</v>
      </c>
      <c r="E101" s="10" t="s">
        <v>81</v>
      </c>
      <c r="F101" s="7">
        <v>16</v>
      </c>
      <c r="G101" s="7" t="s">
        <v>3</v>
      </c>
      <c r="H101" s="11">
        <v>572.29999999999995</v>
      </c>
      <c r="I101" s="14">
        <f t="shared" si="4"/>
        <v>9156.7999999999993</v>
      </c>
      <c r="J101" s="31"/>
      <c r="K101" s="139"/>
    </row>
    <row r="102" spans="1:11" s="8" customFormat="1" ht="12.75" x14ac:dyDescent="0.2">
      <c r="A102" s="7">
        <v>95</v>
      </c>
      <c r="B102" s="9">
        <v>44707</v>
      </c>
      <c r="C102" s="9">
        <v>44707</v>
      </c>
      <c r="D102" s="9" t="s">
        <v>154</v>
      </c>
      <c r="E102" s="10" t="s">
        <v>81</v>
      </c>
      <c r="F102" s="7">
        <v>20</v>
      </c>
      <c r="G102" s="7" t="s">
        <v>3</v>
      </c>
      <c r="H102" s="11">
        <v>601.79999999999995</v>
      </c>
      <c r="I102" s="14">
        <f t="shared" si="4"/>
        <v>12036</v>
      </c>
      <c r="J102" s="31"/>
      <c r="K102" s="139"/>
    </row>
    <row r="103" spans="1:11" s="8" customFormat="1" ht="12.75" x14ac:dyDescent="0.2">
      <c r="A103" s="7">
        <v>96</v>
      </c>
      <c r="B103" s="9">
        <v>44533</v>
      </c>
      <c r="C103" s="9">
        <v>44533</v>
      </c>
      <c r="D103" s="30" t="s">
        <v>177</v>
      </c>
      <c r="E103" s="10" t="s">
        <v>176</v>
      </c>
      <c r="F103" s="7">
        <f>50-3-2-1-2-1-3-3-1-1-1-1-4-1-1-2-2</f>
        <v>21</v>
      </c>
      <c r="G103" s="7" t="s">
        <v>3</v>
      </c>
      <c r="H103" s="11">
        <v>1109.2</v>
      </c>
      <c r="I103" s="14">
        <f t="shared" si="4"/>
        <v>23293.200000000001</v>
      </c>
      <c r="J103" s="31"/>
      <c r="K103" s="139"/>
    </row>
    <row r="104" spans="1:11" s="8" customFormat="1" ht="12.75" x14ac:dyDescent="0.2">
      <c r="A104" s="7">
        <v>97</v>
      </c>
      <c r="B104" s="9">
        <v>44707</v>
      </c>
      <c r="C104" s="9">
        <v>44707</v>
      </c>
      <c r="D104" s="30" t="s">
        <v>177</v>
      </c>
      <c r="E104" s="10" t="s">
        <v>176</v>
      </c>
      <c r="F104" s="7">
        <v>40</v>
      </c>
      <c r="G104" s="7" t="s">
        <v>3</v>
      </c>
      <c r="H104" s="11">
        <v>540.44000000000005</v>
      </c>
      <c r="I104" s="14">
        <f t="shared" si="4"/>
        <v>21617.600000000002</v>
      </c>
      <c r="J104" s="31"/>
      <c r="K104" s="139"/>
    </row>
    <row r="105" spans="1:11" s="8" customFormat="1" ht="12.75" x14ac:dyDescent="0.2">
      <c r="A105" s="7">
        <v>98</v>
      </c>
      <c r="B105" s="9">
        <v>44921</v>
      </c>
      <c r="C105" s="9">
        <v>44921</v>
      </c>
      <c r="D105" s="30" t="s">
        <v>177</v>
      </c>
      <c r="E105" s="10" t="s">
        <v>176</v>
      </c>
      <c r="F105" s="7">
        <v>50</v>
      </c>
      <c r="G105" s="7" t="s">
        <v>3</v>
      </c>
      <c r="H105" s="11">
        <v>743.4</v>
      </c>
      <c r="I105" s="14">
        <f t="shared" si="4"/>
        <v>37170</v>
      </c>
      <c r="J105" s="31"/>
      <c r="K105" s="139"/>
    </row>
    <row r="106" spans="1:11" s="100" customFormat="1" ht="12.75" x14ac:dyDescent="0.2">
      <c r="A106" s="7">
        <v>99</v>
      </c>
      <c r="B106" s="9">
        <v>44533</v>
      </c>
      <c r="C106" s="9">
        <v>44533</v>
      </c>
      <c r="D106" s="30" t="s">
        <v>178</v>
      </c>
      <c r="E106" s="10" t="s">
        <v>181</v>
      </c>
      <c r="F106" s="7">
        <f>25-1-1-1-2-3-1-1-1-1-1-1-2</f>
        <v>9</v>
      </c>
      <c r="G106" s="7" t="s">
        <v>3</v>
      </c>
      <c r="H106" s="11">
        <v>1433.7</v>
      </c>
      <c r="I106" s="14">
        <f t="shared" si="4"/>
        <v>12903.300000000001</v>
      </c>
      <c r="J106" s="94"/>
      <c r="K106" s="139"/>
    </row>
    <row r="107" spans="1:11" s="8" customFormat="1" ht="12.75" x14ac:dyDescent="0.2">
      <c r="A107" s="7">
        <v>100</v>
      </c>
      <c r="B107" s="9">
        <v>44707</v>
      </c>
      <c r="C107" s="9">
        <v>44707</v>
      </c>
      <c r="D107" s="30" t="s">
        <v>178</v>
      </c>
      <c r="E107" s="10" t="s">
        <v>181</v>
      </c>
      <c r="F107" s="7">
        <v>20</v>
      </c>
      <c r="G107" s="7" t="s">
        <v>3</v>
      </c>
      <c r="H107" s="11">
        <v>469.64</v>
      </c>
      <c r="I107" s="14">
        <f t="shared" si="4"/>
        <v>9392.7999999999993</v>
      </c>
      <c r="J107" s="31"/>
      <c r="K107" s="139"/>
    </row>
    <row r="108" spans="1:11" s="8" customFormat="1" ht="12.75" x14ac:dyDescent="0.2">
      <c r="A108" s="7">
        <v>101</v>
      </c>
      <c r="B108" s="9">
        <v>44921</v>
      </c>
      <c r="C108" s="9">
        <v>44921</v>
      </c>
      <c r="D108" s="30" t="s">
        <v>178</v>
      </c>
      <c r="E108" s="10" t="s">
        <v>181</v>
      </c>
      <c r="F108" s="7">
        <v>25</v>
      </c>
      <c r="G108" s="7" t="s">
        <v>3</v>
      </c>
      <c r="H108" s="11">
        <v>743.4</v>
      </c>
      <c r="I108" s="14">
        <f t="shared" si="4"/>
        <v>18585</v>
      </c>
      <c r="J108" s="31"/>
      <c r="K108" s="139"/>
    </row>
    <row r="109" spans="1:11" s="100" customFormat="1" ht="12.75" x14ac:dyDescent="0.2">
      <c r="A109" s="7">
        <v>102</v>
      </c>
      <c r="B109" s="9">
        <v>44533</v>
      </c>
      <c r="C109" s="9">
        <v>44533</v>
      </c>
      <c r="D109" s="30" t="s">
        <v>179</v>
      </c>
      <c r="E109" s="10" t="s">
        <v>183</v>
      </c>
      <c r="F109" s="7">
        <f>25-1-1-1-2-3-1-1-1-1-1-1-2</f>
        <v>9</v>
      </c>
      <c r="G109" s="7" t="s">
        <v>3</v>
      </c>
      <c r="H109" s="11">
        <v>1109.2</v>
      </c>
      <c r="I109" s="14">
        <f t="shared" si="4"/>
        <v>9982.8000000000011</v>
      </c>
      <c r="J109" s="94"/>
      <c r="K109" s="139"/>
    </row>
    <row r="110" spans="1:11" s="8" customFormat="1" ht="12.75" x14ac:dyDescent="0.2">
      <c r="A110" s="7">
        <v>103</v>
      </c>
      <c r="B110" s="9">
        <v>44707</v>
      </c>
      <c r="C110" s="9">
        <v>44707</v>
      </c>
      <c r="D110" s="30" t="s">
        <v>179</v>
      </c>
      <c r="E110" s="10" t="s">
        <v>183</v>
      </c>
      <c r="F110" s="7">
        <v>20</v>
      </c>
      <c r="G110" s="7" t="s">
        <v>3</v>
      </c>
      <c r="H110" s="11">
        <v>469.64</v>
      </c>
      <c r="I110" s="14">
        <f t="shared" si="4"/>
        <v>9392.7999999999993</v>
      </c>
      <c r="J110" s="31"/>
      <c r="K110" s="139"/>
    </row>
    <row r="111" spans="1:11" s="8" customFormat="1" ht="12.75" x14ac:dyDescent="0.2">
      <c r="A111" s="7">
        <v>104</v>
      </c>
      <c r="B111" s="9">
        <v>44921</v>
      </c>
      <c r="C111" s="9">
        <v>44921</v>
      </c>
      <c r="D111" s="30" t="s">
        <v>179</v>
      </c>
      <c r="E111" s="10" t="s">
        <v>183</v>
      </c>
      <c r="F111" s="7">
        <v>25</v>
      </c>
      <c r="G111" s="7" t="s">
        <v>3</v>
      </c>
      <c r="H111" s="11">
        <v>743.4</v>
      </c>
      <c r="I111" s="14">
        <f t="shared" si="4"/>
        <v>18585</v>
      </c>
      <c r="J111" s="31"/>
      <c r="K111" s="140"/>
    </row>
    <row r="112" spans="1:11" s="100" customFormat="1" ht="12.75" x14ac:dyDescent="0.2">
      <c r="A112" s="7">
        <v>105</v>
      </c>
      <c r="B112" s="9">
        <v>44533</v>
      </c>
      <c r="C112" s="9">
        <v>44533</v>
      </c>
      <c r="D112" s="30" t="s">
        <v>180</v>
      </c>
      <c r="E112" s="10" t="s">
        <v>182</v>
      </c>
      <c r="F112" s="7">
        <f>25-1-1-1-2-3-1-1-1-1-1-1-2</f>
        <v>9</v>
      </c>
      <c r="G112" s="7" t="s">
        <v>3</v>
      </c>
      <c r="H112" s="11">
        <v>1109.2</v>
      </c>
      <c r="I112" s="14">
        <f t="shared" si="4"/>
        <v>9982.8000000000011</v>
      </c>
      <c r="J112" s="94"/>
      <c r="K112" s="138"/>
    </row>
    <row r="113" spans="1:11" s="8" customFormat="1" ht="12.75" x14ac:dyDescent="0.2">
      <c r="A113" s="7">
        <v>106</v>
      </c>
      <c r="B113" s="9">
        <v>44707</v>
      </c>
      <c r="C113" s="9">
        <v>44707</v>
      </c>
      <c r="D113" s="30" t="s">
        <v>180</v>
      </c>
      <c r="E113" s="10" t="s">
        <v>182</v>
      </c>
      <c r="F113" s="7">
        <v>20</v>
      </c>
      <c r="G113" s="7" t="s">
        <v>3</v>
      </c>
      <c r="H113" s="11">
        <v>469.64</v>
      </c>
      <c r="I113" s="14">
        <f t="shared" si="4"/>
        <v>9392.7999999999993</v>
      </c>
      <c r="J113" s="31"/>
    </row>
    <row r="114" spans="1:11" s="8" customFormat="1" ht="12.75" x14ac:dyDescent="0.2">
      <c r="A114" s="7">
        <v>107</v>
      </c>
      <c r="B114" s="9">
        <v>44921</v>
      </c>
      <c r="C114" s="9">
        <v>44921</v>
      </c>
      <c r="D114" s="30" t="s">
        <v>180</v>
      </c>
      <c r="E114" s="10" t="s">
        <v>182</v>
      </c>
      <c r="F114" s="7">
        <v>25</v>
      </c>
      <c r="G114" s="7" t="s">
        <v>3</v>
      </c>
      <c r="H114" s="11">
        <v>743.4</v>
      </c>
      <c r="I114" s="14">
        <f t="shared" si="4"/>
        <v>18585</v>
      </c>
      <c r="J114" s="31"/>
    </row>
    <row r="115" spans="1:11" s="20" customFormat="1" x14ac:dyDescent="0.25">
      <c r="H115" s="32" t="s">
        <v>18</v>
      </c>
      <c r="I115" s="64">
        <f>SUM(I8:I114)</f>
        <v>5050907.9225072945</v>
      </c>
      <c r="J115" s="40"/>
      <c r="K115" s="40"/>
    </row>
    <row r="116" spans="1:11" s="20" customFormat="1" x14ac:dyDescent="0.25">
      <c r="H116" s="84"/>
      <c r="I116" s="85"/>
      <c r="J116" s="40"/>
      <c r="K116" s="40"/>
    </row>
    <row r="117" spans="1:11" s="20" customFormat="1" x14ac:dyDescent="0.25">
      <c r="H117" s="84"/>
      <c r="I117" s="85"/>
      <c r="J117" s="40"/>
      <c r="K117" s="40"/>
    </row>
    <row r="118" spans="1:11" s="20" customFormat="1" x14ac:dyDescent="0.25">
      <c r="H118" s="84"/>
      <c r="I118" s="85"/>
      <c r="J118" s="40"/>
      <c r="K118" s="40"/>
    </row>
    <row r="119" spans="1:11" x14ac:dyDescent="0.25">
      <c r="A119" s="141" t="s">
        <v>270</v>
      </c>
      <c r="B119" s="141"/>
      <c r="C119" s="141"/>
      <c r="D119" s="141"/>
      <c r="E119" s="141"/>
      <c r="F119" s="141"/>
      <c r="G119" s="141"/>
      <c r="H119" s="141"/>
      <c r="I119" s="141"/>
    </row>
    <row r="120" spans="1:11" x14ac:dyDescent="0.25">
      <c r="A120" s="163" t="s">
        <v>271</v>
      </c>
      <c r="B120" s="163"/>
      <c r="C120" s="163"/>
      <c r="D120" s="163"/>
      <c r="E120" s="163"/>
      <c r="F120" s="163"/>
      <c r="G120" s="163"/>
      <c r="H120" s="163"/>
      <c r="I120" s="163"/>
    </row>
    <row r="121" spans="1:11" x14ac:dyDescent="0.25">
      <c r="A121" s="141" t="s">
        <v>272</v>
      </c>
      <c r="B121" s="141"/>
      <c r="C121" s="141"/>
      <c r="D121" s="141"/>
      <c r="E121" s="141"/>
      <c r="F121" s="141"/>
      <c r="G121" s="141"/>
      <c r="H121" s="141"/>
      <c r="I121" s="141"/>
    </row>
    <row r="122" spans="1:11" x14ac:dyDescent="0.25">
      <c r="A122" s="141" t="s">
        <v>273</v>
      </c>
      <c r="B122" s="141"/>
      <c r="C122" s="141"/>
      <c r="D122" s="141"/>
      <c r="E122" s="141"/>
      <c r="F122" s="141"/>
      <c r="G122" s="141"/>
      <c r="H122" s="141"/>
      <c r="I122" s="141"/>
    </row>
    <row r="123" spans="1:11" s="2" customFormat="1" ht="12.75" customHeight="1" x14ac:dyDescent="0.25">
      <c r="A123" s="82"/>
      <c r="B123" s="151"/>
      <c r="C123" s="151"/>
      <c r="D123" s="151"/>
      <c r="E123" s="152"/>
      <c r="F123" s="152"/>
      <c r="G123" s="77"/>
      <c r="H123" s="153"/>
      <c r="I123" s="153"/>
    </row>
    <row r="124" spans="1:11" s="2" customFormat="1" x14ac:dyDescent="0.25">
      <c r="A124" s="81"/>
      <c r="B124" s="147"/>
      <c r="C124" s="147"/>
      <c r="D124" s="147"/>
      <c r="E124" s="147"/>
      <c r="F124" s="147"/>
      <c r="G124" s="78"/>
      <c r="H124" s="79"/>
      <c r="I124" s="78"/>
    </row>
    <row r="125" spans="1:11" s="2" customFormat="1" x14ac:dyDescent="0.25">
      <c r="A125" s="83"/>
      <c r="B125" s="83"/>
      <c r="C125" s="83"/>
      <c r="D125" s="83"/>
      <c r="E125" s="83"/>
      <c r="F125" s="83"/>
      <c r="G125" s="83"/>
      <c r="H125" s="83"/>
      <c r="I125" s="83"/>
    </row>
    <row r="126" spans="1:11" s="2" customFormat="1" x14ac:dyDescent="0.25">
      <c r="A126" s="91"/>
      <c r="B126" s="91"/>
      <c r="C126" s="91"/>
      <c r="D126" s="91"/>
      <c r="E126" s="91"/>
      <c r="F126" s="91"/>
      <c r="G126" s="91"/>
      <c r="H126" s="91"/>
      <c r="I126" s="91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11" x14ac:dyDescent="0.25">
      <c r="A128" s="162"/>
      <c r="B128" s="162"/>
      <c r="C128" s="162"/>
      <c r="D128" s="162"/>
      <c r="E128" s="162"/>
      <c r="F128" s="162"/>
      <c r="G128" s="162"/>
      <c r="H128" s="162"/>
      <c r="I128" s="162"/>
    </row>
    <row r="131" spans="1:10" s="100" customFormat="1" ht="12.75" x14ac:dyDescent="0.2">
      <c r="J131" s="94"/>
    </row>
    <row r="132" spans="1:10" s="100" customFormat="1" ht="12.75" x14ac:dyDescent="0.2">
      <c r="J132" s="94"/>
    </row>
    <row r="133" spans="1:10" s="66" customFormat="1" x14ac:dyDescent="0.25"/>
    <row r="134" spans="1:10" s="66" customFormat="1" x14ac:dyDescent="0.25"/>
    <row r="135" spans="1:10" s="70" customFormat="1" ht="12.75" x14ac:dyDescent="0.2">
      <c r="A135" s="67"/>
      <c r="B135" s="68"/>
      <c r="C135" s="68"/>
      <c r="D135" s="69"/>
      <c r="F135" s="67"/>
      <c r="G135" s="67"/>
      <c r="H135" s="71"/>
      <c r="I135" s="72"/>
    </row>
    <row r="136" spans="1:10" s="66" customFormat="1" x14ac:dyDescent="0.25"/>
    <row r="137" spans="1:10" s="66" customFormat="1" x14ac:dyDescent="0.25"/>
    <row r="138" spans="1:10" s="70" customFormat="1" ht="12.75" x14ac:dyDescent="0.2">
      <c r="A138" s="67"/>
      <c r="B138" s="68"/>
      <c r="C138" s="68"/>
      <c r="D138" s="68"/>
      <c r="F138" s="67"/>
      <c r="G138" s="67"/>
      <c r="H138" s="71"/>
      <c r="I138" s="72"/>
    </row>
    <row r="139" spans="1:10" s="70" customFormat="1" ht="12.75" x14ac:dyDescent="0.2">
      <c r="A139" s="67"/>
      <c r="B139" s="68"/>
      <c r="C139" s="68"/>
      <c r="D139" s="68"/>
      <c r="F139" s="67"/>
      <c r="G139" s="67"/>
      <c r="H139" s="71"/>
      <c r="I139" s="72"/>
    </row>
    <row r="140" spans="1:10" s="70" customFormat="1" ht="12.75" x14ac:dyDescent="0.2">
      <c r="A140" s="67"/>
      <c r="B140" s="68"/>
      <c r="C140" s="68"/>
      <c r="D140" s="68"/>
      <c r="F140" s="67"/>
      <c r="G140" s="67"/>
      <c r="H140" s="71"/>
      <c r="I140" s="72"/>
    </row>
    <row r="141" spans="1:10" s="70" customFormat="1" ht="12.75" x14ac:dyDescent="0.2">
      <c r="A141" s="67"/>
      <c r="B141" s="68"/>
      <c r="C141" s="68"/>
      <c r="D141" s="68"/>
      <c r="F141" s="67"/>
      <c r="G141" s="67"/>
      <c r="H141" s="71"/>
      <c r="I141" s="72"/>
    </row>
    <row r="142" spans="1:10" s="70" customFormat="1" ht="12.75" x14ac:dyDescent="0.2">
      <c r="A142" s="67"/>
      <c r="B142" s="68"/>
      <c r="C142" s="68"/>
      <c r="D142" s="69"/>
      <c r="F142" s="67"/>
      <c r="G142" s="67"/>
      <c r="H142" s="71"/>
      <c r="I142" s="72"/>
    </row>
    <row r="143" spans="1:10" s="73" customFormat="1" x14ac:dyDescent="0.25">
      <c r="A143" s="67"/>
      <c r="B143" s="68"/>
      <c r="C143" s="68"/>
      <c r="D143" s="69"/>
      <c r="E143" s="70"/>
      <c r="F143" s="67"/>
      <c r="G143" s="67"/>
      <c r="H143" s="71"/>
      <c r="I143" s="72"/>
    </row>
    <row r="144" spans="1:10" s="70" customFormat="1" ht="12.75" x14ac:dyDescent="0.2">
      <c r="A144" s="67"/>
      <c r="B144" s="68"/>
      <c r="C144" s="68"/>
      <c r="D144" s="69"/>
      <c r="F144" s="67"/>
      <c r="G144" s="67"/>
      <c r="H144" s="71"/>
      <c r="I144" s="72"/>
    </row>
    <row r="145" spans="1:9" s="70" customFormat="1" ht="12.75" x14ac:dyDescent="0.2">
      <c r="A145" s="67"/>
      <c r="B145" s="68"/>
      <c r="C145" s="68"/>
      <c r="D145" s="69"/>
      <c r="F145" s="67"/>
      <c r="G145" s="67"/>
      <c r="H145" s="71"/>
      <c r="I145" s="72"/>
    </row>
    <row r="146" spans="1:9" s="70" customFormat="1" ht="12.75" x14ac:dyDescent="0.2">
      <c r="A146" s="67"/>
      <c r="B146" s="68"/>
      <c r="C146" s="68"/>
      <c r="D146" s="69"/>
      <c r="F146" s="67"/>
      <c r="G146" s="67"/>
      <c r="H146" s="71"/>
      <c r="I146" s="72"/>
    </row>
    <row r="147" spans="1:9" s="70" customFormat="1" ht="12.75" x14ac:dyDescent="0.2">
      <c r="A147" s="67"/>
      <c r="B147" s="68"/>
      <c r="C147" s="68"/>
      <c r="D147" s="69"/>
      <c r="F147" s="67"/>
      <c r="G147" s="67"/>
      <c r="H147" s="71"/>
      <c r="I147" s="72"/>
    </row>
    <row r="148" spans="1:9" s="70" customFormat="1" ht="12.75" x14ac:dyDescent="0.2">
      <c r="A148" s="67"/>
      <c r="B148" s="68"/>
      <c r="C148" s="68"/>
      <c r="D148" s="69"/>
      <c r="F148" s="67"/>
      <c r="G148" s="67"/>
      <c r="H148" s="71"/>
      <c r="I148" s="72"/>
    </row>
    <row r="149" spans="1:9" s="70" customFormat="1" ht="12.75" x14ac:dyDescent="0.2">
      <c r="A149" s="67"/>
      <c r="B149" s="68"/>
      <c r="C149" s="68"/>
      <c r="D149" s="69"/>
      <c r="F149" s="67"/>
      <c r="G149" s="67"/>
      <c r="H149" s="71"/>
      <c r="I149" s="72"/>
    </row>
    <row r="150" spans="1:9" s="70" customFormat="1" ht="12.75" x14ac:dyDescent="0.2">
      <c r="A150" s="67"/>
      <c r="B150" s="68"/>
      <c r="C150" s="68"/>
      <c r="D150" s="69"/>
      <c r="F150" s="67"/>
      <c r="G150" s="67"/>
      <c r="H150" s="71"/>
      <c r="I150" s="72"/>
    </row>
    <row r="151" spans="1:9" s="70" customFormat="1" ht="12.75" x14ac:dyDescent="0.2">
      <c r="A151" s="67"/>
      <c r="B151" s="68"/>
      <c r="C151" s="68"/>
      <c r="D151" s="69"/>
      <c r="F151" s="67"/>
      <c r="G151" s="67"/>
      <c r="H151" s="71"/>
      <c r="I151" s="72"/>
    </row>
    <row r="152" spans="1:9" s="70" customFormat="1" ht="12.75" x14ac:dyDescent="0.2">
      <c r="A152" s="67"/>
      <c r="B152" s="68"/>
      <c r="C152" s="68"/>
      <c r="D152" s="69"/>
      <c r="F152" s="67"/>
      <c r="G152" s="67"/>
      <c r="H152" s="71"/>
      <c r="I152" s="72"/>
    </row>
    <row r="153" spans="1:9" s="70" customFormat="1" ht="12.75" x14ac:dyDescent="0.2">
      <c r="A153" s="67"/>
      <c r="B153" s="68"/>
      <c r="C153" s="68"/>
      <c r="D153" s="69"/>
      <c r="F153" s="67"/>
      <c r="G153" s="67"/>
      <c r="H153" s="71"/>
      <c r="I153" s="72"/>
    </row>
    <row r="154" spans="1:9" s="70" customFormat="1" ht="12.75" x14ac:dyDescent="0.2">
      <c r="A154" s="67"/>
      <c r="B154" s="68"/>
      <c r="C154" s="68"/>
      <c r="D154" s="69"/>
      <c r="F154" s="67"/>
      <c r="G154" s="67"/>
      <c r="H154" s="71"/>
      <c r="I154" s="72"/>
    </row>
    <row r="155" spans="1:9" s="66" customFormat="1" x14ac:dyDescent="0.25">
      <c r="I155" s="74"/>
    </row>
    <row r="156" spans="1:9" s="66" customFormat="1" x14ac:dyDescent="0.25"/>
    <row r="157" spans="1:9" s="66" customFormat="1" x14ac:dyDescent="0.25"/>
    <row r="158" spans="1:9" s="66" customFormat="1" x14ac:dyDescent="0.25"/>
    <row r="159" spans="1:9" s="66" customFormat="1" x14ac:dyDescent="0.25"/>
    <row r="160" spans="1:9" s="66" customFormat="1" x14ac:dyDescent="0.25">
      <c r="A160" s="160"/>
      <c r="B160" s="160"/>
      <c r="C160" s="160"/>
      <c r="D160" s="160"/>
      <c r="E160" s="160"/>
      <c r="F160" s="160"/>
      <c r="G160" s="160"/>
      <c r="H160" s="160"/>
      <c r="I160" s="160"/>
    </row>
    <row r="161" spans="1:9" s="66" customFormat="1" x14ac:dyDescent="0.25">
      <c r="A161" s="161"/>
      <c r="B161" s="161"/>
      <c r="C161" s="161"/>
      <c r="D161" s="161"/>
      <c r="E161" s="161"/>
      <c r="F161" s="161"/>
      <c r="G161" s="161"/>
      <c r="H161" s="161"/>
      <c r="I161" s="161"/>
    </row>
    <row r="162" spans="1:9" s="66" customFormat="1" x14ac:dyDescent="0.25">
      <c r="A162" s="159"/>
      <c r="B162" s="159"/>
      <c r="C162" s="159"/>
      <c r="D162" s="159"/>
      <c r="E162" s="159"/>
      <c r="F162" s="159"/>
      <c r="G162" s="159"/>
      <c r="H162" s="159"/>
      <c r="I162" s="159"/>
    </row>
    <row r="163" spans="1:9" s="66" customFormat="1" ht="17.25" customHeight="1" x14ac:dyDescent="0.25">
      <c r="A163" s="159"/>
      <c r="B163" s="159"/>
      <c r="C163" s="159"/>
      <c r="D163" s="159"/>
      <c r="E163" s="159"/>
      <c r="F163" s="159"/>
      <c r="G163" s="159"/>
      <c r="H163" s="159"/>
      <c r="I163" s="159"/>
    </row>
    <row r="164" spans="1:9" s="66" customFormat="1" ht="17.25" customHeight="1" x14ac:dyDescent="0.25">
      <c r="A164" s="73"/>
      <c r="B164" s="73"/>
      <c r="C164" s="73"/>
      <c r="D164" s="73"/>
      <c r="E164" s="73"/>
      <c r="F164" s="73"/>
      <c r="G164" s="73"/>
      <c r="H164" s="73"/>
      <c r="I164" s="73"/>
    </row>
    <row r="165" spans="1:9" ht="14.25" customHeight="1" x14ac:dyDescent="0.25"/>
  </sheetData>
  <mergeCells count="19">
    <mergeCell ref="A119:I119"/>
    <mergeCell ref="A120:I120"/>
    <mergeCell ref="A121:I121"/>
    <mergeCell ref="A122:I122"/>
    <mergeCell ref="B123:D123"/>
    <mergeCell ref="E123:F123"/>
    <mergeCell ref="H123:I123"/>
    <mergeCell ref="A163:I163"/>
    <mergeCell ref="A160:I160"/>
    <mergeCell ref="A161:I161"/>
    <mergeCell ref="A162:I162"/>
    <mergeCell ref="B124:D124"/>
    <mergeCell ref="E124:F124"/>
    <mergeCell ref="A128:I128"/>
    <mergeCell ref="A3:I3"/>
    <mergeCell ref="A4:I4"/>
    <mergeCell ref="A5:I5"/>
    <mergeCell ref="A6:I6"/>
    <mergeCell ref="F7:G7"/>
  </mergeCells>
  <pageMargins left="0.62" right="0.68" top="0.9" bottom="1" header="0.5" footer="0.5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opLeftCell="A34" zoomScale="90" zoomScaleNormal="90" workbookViewId="0">
      <selection activeCell="E53" sqref="E53"/>
    </sheetView>
  </sheetViews>
  <sheetFormatPr baseColWidth="10" defaultRowHeight="15" x14ac:dyDescent="0.25"/>
  <cols>
    <col min="1" max="1" width="5.5703125" customWidth="1"/>
    <col min="2" max="2" width="13" style="28" customWidth="1"/>
    <col min="3" max="3" width="10.28515625" style="29" customWidth="1"/>
    <col min="4" max="4" width="8.7109375" style="58" customWidth="1"/>
    <col min="5" max="5" width="38.5703125" customWidth="1"/>
    <col min="6" max="6" width="6.42578125" style="47" customWidth="1"/>
    <col min="7" max="7" width="5.5703125" customWidth="1"/>
    <col min="8" max="8" width="13" style="47" customWidth="1"/>
    <col min="9" max="9" width="19.140625" customWidth="1"/>
    <col min="10" max="11" width="15" bestFit="1" customWidth="1"/>
  </cols>
  <sheetData>
    <row r="1" spans="1:10" s="20" customFormat="1" ht="98.25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  <c r="I1" s="154"/>
    </row>
    <row r="2" spans="1:10" s="41" customFormat="1" ht="15.75" customHeight="1" x14ac:dyDescent="0.3">
      <c r="A2" s="155" t="s">
        <v>26</v>
      </c>
      <c r="B2" s="155"/>
      <c r="C2" s="155"/>
      <c r="D2" s="155"/>
      <c r="E2" s="155"/>
      <c r="F2" s="155"/>
      <c r="G2" s="155"/>
      <c r="H2" s="155"/>
      <c r="I2" s="155"/>
    </row>
    <row r="3" spans="1:10" s="20" customFormat="1" ht="13.5" customHeight="1" x14ac:dyDescent="0.25">
      <c r="A3" s="156" t="s">
        <v>89</v>
      </c>
      <c r="B3" s="156"/>
      <c r="C3" s="156"/>
      <c r="D3" s="156"/>
      <c r="E3" s="156"/>
      <c r="F3" s="156"/>
      <c r="G3" s="156"/>
      <c r="H3" s="156"/>
      <c r="I3" s="156"/>
    </row>
    <row r="4" spans="1:10" s="20" customFormat="1" ht="17.25" customHeight="1" x14ac:dyDescent="0.25">
      <c r="A4" s="145" t="s">
        <v>290</v>
      </c>
      <c r="B4" s="145"/>
      <c r="C4" s="145"/>
      <c r="D4" s="145"/>
      <c r="E4" s="145"/>
      <c r="F4" s="145"/>
      <c r="G4" s="145"/>
      <c r="H4" s="145"/>
      <c r="I4" s="145"/>
    </row>
    <row r="5" spans="1:10" s="20" customFormat="1" ht="48.75" customHeight="1" x14ac:dyDescent="0.25">
      <c r="A5" s="42" t="s">
        <v>83</v>
      </c>
      <c r="B5" s="43" t="s">
        <v>84</v>
      </c>
      <c r="C5" s="35" t="s">
        <v>95</v>
      </c>
      <c r="D5" s="57" t="s">
        <v>91</v>
      </c>
      <c r="E5" s="44" t="s">
        <v>1</v>
      </c>
      <c r="F5" s="164" t="s">
        <v>2</v>
      </c>
      <c r="G5" s="165"/>
      <c r="H5" s="43" t="s">
        <v>22</v>
      </c>
      <c r="I5" s="45" t="s">
        <v>17</v>
      </c>
    </row>
    <row r="6" spans="1:10" s="99" customFormat="1" ht="11.25" customHeight="1" x14ac:dyDescent="0.2">
      <c r="A6" s="7">
        <v>1</v>
      </c>
      <c r="B6" s="39">
        <v>44271</v>
      </c>
      <c r="C6" s="39">
        <v>44271</v>
      </c>
      <c r="D6" s="30" t="s">
        <v>157</v>
      </c>
      <c r="E6" s="101" t="s">
        <v>184</v>
      </c>
      <c r="F6" s="102">
        <f>35-21</f>
        <v>14</v>
      </c>
      <c r="G6" s="7" t="s">
        <v>3</v>
      </c>
      <c r="H6" s="112">
        <v>28143</v>
      </c>
      <c r="I6" s="103">
        <f t="shared" ref="I6:I12" si="0">F6*H6</f>
        <v>394002</v>
      </c>
    </row>
    <row r="7" spans="1:10" s="100" customFormat="1" ht="12" customHeight="1" x14ac:dyDescent="0.2">
      <c r="A7" s="7">
        <v>2</v>
      </c>
      <c r="B7" s="39">
        <v>43504</v>
      </c>
      <c r="C7" s="39">
        <v>43504</v>
      </c>
      <c r="D7" s="30" t="s">
        <v>156</v>
      </c>
      <c r="E7" s="101" t="s">
        <v>187</v>
      </c>
      <c r="F7" s="102">
        <f>112-1-4-1-1-5-1-11-2-1-1-3-2-2-3-3-7-3-7-2-3-10-2-3-4-2-3-11-1-5</f>
        <v>8</v>
      </c>
      <c r="G7" s="7" t="s">
        <v>3</v>
      </c>
      <c r="H7" s="11">
        <v>1800</v>
      </c>
      <c r="I7" s="103">
        <f t="shared" si="0"/>
        <v>14400</v>
      </c>
    </row>
    <row r="8" spans="1:10" s="99" customFormat="1" ht="11.25" customHeight="1" x14ac:dyDescent="0.2">
      <c r="A8" s="7">
        <v>3</v>
      </c>
      <c r="B8" s="39">
        <v>44557</v>
      </c>
      <c r="C8" s="39">
        <v>44557</v>
      </c>
      <c r="D8" s="30" t="s">
        <v>156</v>
      </c>
      <c r="E8" s="101" t="s">
        <v>187</v>
      </c>
      <c r="F8" s="102">
        <v>17</v>
      </c>
      <c r="G8" s="7" t="s">
        <v>3</v>
      </c>
      <c r="H8" s="11">
        <v>5428</v>
      </c>
      <c r="I8" s="103">
        <f t="shared" si="0"/>
        <v>92276</v>
      </c>
    </row>
    <row r="9" spans="1:10" s="100" customFormat="1" ht="11.25" customHeight="1" x14ac:dyDescent="0.2">
      <c r="A9" s="7">
        <v>4</v>
      </c>
      <c r="B9" s="39">
        <v>44824</v>
      </c>
      <c r="C9" s="39">
        <v>44824</v>
      </c>
      <c r="D9" s="30" t="s">
        <v>244</v>
      </c>
      <c r="E9" s="101" t="s">
        <v>243</v>
      </c>
      <c r="F9" s="102">
        <f>93-1-2-2-6-2-3-11-1-5</f>
        <v>60</v>
      </c>
      <c r="G9" s="7" t="s">
        <v>3</v>
      </c>
      <c r="H9" s="11">
        <v>1770</v>
      </c>
      <c r="I9" s="103">
        <f t="shared" si="0"/>
        <v>106200</v>
      </c>
    </row>
    <row r="10" spans="1:10" s="100" customFormat="1" ht="11.25" customHeight="1" x14ac:dyDescent="0.2">
      <c r="A10" s="7">
        <v>5</v>
      </c>
      <c r="B10" s="39">
        <v>44911</v>
      </c>
      <c r="C10" s="39">
        <v>44911</v>
      </c>
      <c r="D10" s="30" t="s">
        <v>260</v>
      </c>
      <c r="E10" s="101" t="s">
        <v>247</v>
      </c>
      <c r="F10" s="102">
        <f>725-25-121-174-273-72-12-3-9-6</f>
        <v>30</v>
      </c>
      <c r="G10" s="7" t="s">
        <v>3</v>
      </c>
      <c r="H10" s="11">
        <v>3938.25</v>
      </c>
      <c r="I10" s="103">
        <f t="shared" si="0"/>
        <v>118147.5</v>
      </c>
    </row>
    <row r="11" spans="1:10" s="99" customFormat="1" ht="11.25" customHeight="1" x14ac:dyDescent="0.2">
      <c r="A11" s="7">
        <v>6</v>
      </c>
      <c r="B11" s="39">
        <v>44999</v>
      </c>
      <c r="C11" s="39">
        <v>44999</v>
      </c>
      <c r="D11" s="30" t="s">
        <v>260</v>
      </c>
      <c r="E11" s="101" t="s">
        <v>247</v>
      </c>
      <c r="F11" s="102">
        <v>211</v>
      </c>
      <c r="G11" s="7" t="s">
        <v>3</v>
      </c>
      <c r="H11" s="11">
        <v>3953</v>
      </c>
      <c r="I11" s="103">
        <f t="shared" si="0"/>
        <v>834083</v>
      </c>
    </row>
    <row r="12" spans="1:10" s="99" customFormat="1" ht="11.25" customHeight="1" x14ac:dyDescent="0.2">
      <c r="A12" s="7">
        <v>7</v>
      </c>
      <c r="B12" s="39">
        <v>45000</v>
      </c>
      <c r="C12" s="39">
        <v>45000</v>
      </c>
      <c r="D12" s="30" t="s">
        <v>260</v>
      </c>
      <c r="E12" s="101" t="s">
        <v>274</v>
      </c>
      <c r="F12" s="102">
        <v>25</v>
      </c>
      <c r="G12" s="7" t="s">
        <v>3</v>
      </c>
      <c r="H12" s="11">
        <v>28314.1</v>
      </c>
      <c r="I12" s="103">
        <f t="shared" si="0"/>
        <v>707852.5</v>
      </c>
      <c r="J12" s="130"/>
    </row>
    <row r="13" spans="1:10" s="100" customFormat="1" ht="12.75" customHeight="1" x14ac:dyDescent="0.2">
      <c r="A13" s="7">
        <v>8</v>
      </c>
      <c r="B13" s="39">
        <v>44923</v>
      </c>
      <c r="C13" s="39">
        <v>44923</v>
      </c>
      <c r="D13" s="30" t="s">
        <v>240</v>
      </c>
      <c r="E13" s="101" t="s">
        <v>234</v>
      </c>
      <c r="F13" s="102">
        <f>3060-914-493-716-155-51-23-44-29</f>
        <v>635</v>
      </c>
      <c r="G13" s="7" t="s">
        <v>3</v>
      </c>
      <c r="H13" s="11">
        <v>989</v>
      </c>
      <c r="I13" s="103">
        <f>F13*H13</f>
        <v>628015</v>
      </c>
      <c r="J13" s="131"/>
    </row>
    <row r="14" spans="1:10" s="100" customFormat="1" ht="12.75" customHeight="1" x14ac:dyDescent="0.2">
      <c r="A14" s="7">
        <v>9</v>
      </c>
      <c r="B14" s="39">
        <v>45100</v>
      </c>
      <c r="C14" s="39">
        <v>45100</v>
      </c>
      <c r="D14" s="30" t="s">
        <v>240</v>
      </c>
      <c r="E14" s="101" t="s">
        <v>234</v>
      </c>
      <c r="F14" s="102">
        <v>1923</v>
      </c>
      <c r="G14" s="7" t="s">
        <v>3</v>
      </c>
      <c r="H14" s="11">
        <v>988.25</v>
      </c>
      <c r="I14" s="103">
        <f>F14*H14</f>
        <v>1900404.75</v>
      </c>
      <c r="J14" s="131"/>
    </row>
    <row r="15" spans="1:10" s="100" customFormat="1" ht="12.75" customHeight="1" x14ac:dyDescent="0.2">
      <c r="A15" s="7">
        <v>10</v>
      </c>
      <c r="B15" s="39">
        <v>45106</v>
      </c>
      <c r="C15" s="39">
        <v>45106</v>
      </c>
      <c r="D15" s="30" t="s">
        <v>289</v>
      </c>
      <c r="E15" s="101" t="s">
        <v>288</v>
      </c>
      <c r="F15" s="102">
        <f>250-152</f>
        <v>98</v>
      </c>
      <c r="G15" s="7" t="s">
        <v>3</v>
      </c>
      <c r="H15" s="11">
        <v>1319.83</v>
      </c>
      <c r="I15" s="103">
        <f>F15*H15</f>
        <v>129343.34</v>
      </c>
      <c r="J15" s="131"/>
    </row>
    <row r="16" spans="1:10" s="100" customFormat="1" ht="12.75" customHeight="1" x14ac:dyDescent="0.2">
      <c r="A16" s="7">
        <v>11</v>
      </c>
      <c r="B16" s="39">
        <v>44662</v>
      </c>
      <c r="C16" s="39">
        <v>44663</v>
      </c>
      <c r="D16" s="30" t="s">
        <v>168</v>
      </c>
      <c r="E16" s="101" t="s">
        <v>155</v>
      </c>
      <c r="F16" s="102">
        <f>5990-713-1937-644-350-500-75-269-620-174-389-4-10-2-2-2</f>
        <v>299</v>
      </c>
      <c r="G16" s="7" t="s">
        <v>3</v>
      </c>
      <c r="H16" s="11">
        <v>160.06700000000001</v>
      </c>
      <c r="I16" s="103">
        <f t="shared" ref="I16:I18" si="1">F16*H16</f>
        <v>47860.033000000003</v>
      </c>
      <c r="J16" s="131"/>
    </row>
    <row r="17" spans="1:10" s="100" customFormat="1" ht="12.75" customHeight="1" x14ac:dyDescent="0.2">
      <c r="A17" s="7">
        <v>12</v>
      </c>
      <c r="B17" s="39">
        <v>44917</v>
      </c>
      <c r="C17" s="39">
        <v>44917</v>
      </c>
      <c r="D17" s="30" t="s">
        <v>261</v>
      </c>
      <c r="E17" s="101" t="s">
        <v>257</v>
      </c>
      <c r="F17" s="102">
        <f>30-4-4-9-3</f>
        <v>10</v>
      </c>
      <c r="G17" s="7" t="s">
        <v>3</v>
      </c>
      <c r="H17" s="11">
        <v>2971.8772100000001</v>
      </c>
      <c r="I17" s="103">
        <f t="shared" si="1"/>
        <v>29718.772100000002</v>
      </c>
      <c r="J17" s="132"/>
    </row>
    <row r="18" spans="1:10" s="8" customFormat="1" ht="13.5" customHeight="1" x14ac:dyDescent="0.2">
      <c r="A18" s="7">
        <v>13</v>
      </c>
      <c r="B18" s="39">
        <v>44729</v>
      </c>
      <c r="C18" s="39">
        <v>44729</v>
      </c>
      <c r="D18" s="30" t="s">
        <v>161</v>
      </c>
      <c r="E18" s="101" t="s">
        <v>158</v>
      </c>
      <c r="F18" s="113">
        <f>297-43-30-10-15</f>
        <v>199</v>
      </c>
      <c r="G18" s="7" t="s">
        <v>3</v>
      </c>
      <c r="H18" s="11">
        <v>4165.3999999999996</v>
      </c>
      <c r="I18" s="19">
        <f t="shared" si="1"/>
        <v>828914.6</v>
      </c>
    </row>
    <row r="19" spans="1:10" s="8" customFormat="1" ht="13.5" customHeight="1" x14ac:dyDescent="0.2">
      <c r="A19" s="7">
        <v>14</v>
      </c>
      <c r="B19" s="39">
        <v>41992</v>
      </c>
      <c r="C19" s="39">
        <v>41992</v>
      </c>
      <c r="D19" s="30" t="s">
        <v>159</v>
      </c>
      <c r="E19" s="101" t="s">
        <v>49</v>
      </c>
      <c r="F19" s="102">
        <f>194-17</f>
        <v>177</v>
      </c>
      <c r="G19" s="7" t="s">
        <v>3</v>
      </c>
      <c r="H19" s="11">
        <v>110</v>
      </c>
      <c r="I19" s="103">
        <f t="shared" ref="I19:I21" si="2">+F19*H19</f>
        <v>19470</v>
      </c>
    </row>
    <row r="20" spans="1:10" s="100" customFormat="1" ht="15.75" customHeight="1" x14ac:dyDescent="0.2">
      <c r="A20" s="7">
        <v>15</v>
      </c>
      <c r="B20" s="39">
        <v>44707</v>
      </c>
      <c r="C20" s="39">
        <v>44707</v>
      </c>
      <c r="D20" s="30" t="s">
        <v>205</v>
      </c>
      <c r="E20" s="101" t="s">
        <v>189</v>
      </c>
      <c r="F20" s="102">
        <f>3430-572-224-80-125-23-111-474-323-342-72-20-10-21-12</f>
        <v>1021</v>
      </c>
      <c r="G20" s="7" t="s">
        <v>3</v>
      </c>
      <c r="H20" s="11">
        <v>247.8</v>
      </c>
      <c r="I20" s="103">
        <f t="shared" si="2"/>
        <v>253003.80000000002</v>
      </c>
    </row>
    <row r="21" spans="1:10" s="8" customFormat="1" ht="13.5" customHeight="1" x14ac:dyDescent="0.2">
      <c r="A21" s="7">
        <v>16</v>
      </c>
      <c r="B21" s="39">
        <v>42362</v>
      </c>
      <c r="C21" s="39">
        <v>42362</v>
      </c>
      <c r="D21" s="30" t="s">
        <v>160</v>
      </c>
      <c r="E21" s="101" t="s">
        <v>13</v>
      </c>
      <c r="F21" s="102">
        <f>844-7-1-2</f>
        <v>834</v>
      </c>
      <c r="G21" s="7" t="s">
        <v>3</v>
      </c>
      <c r="H21" s="11">
        <v>100</v>
      </c>
      <c r="I21" s="103">
        <f t="shared" si="2"/>
        <v>83400</v>
      </c>
    </row>
    <row r="22" spans="1:10" s="122" customFormat="1" ht="13.5" customHeight="1" x14ac:dyDescent="0.2">
      <c r="A22" s="7">
        <v>17</v>
      </c>
      <c r="B22" s="39">
        <v>45063</v>
      </c>
      <c r="C22" s="39">
        <v>45063</v>
      </c>
      <c r="D22" s="30" t="s">
        <v>206</v>
      </c>
      <c r="E22" s="101" t="s">
        <v>185</v>
      </c>
      <c r="F22" s="102">
        <f>623-80</f>
        <v>543</v>
      </c>
      <c r="G22" s="7" t="s">
        <v>3</v>
      </c>
      <c r="H22" s="11">
        <v>1829</v>
      </c>
      <c r="I22" s="103">
        <f>F22*H22</f>
        <v>993147</v>
      </c>
    </row>
    <row r="23" spans="1:10" s="8" customFormat="1" ht="18.75" customHeight="1" x14ac:dyDescent="0.2">
      <c r="A23" s="7">
        <v>18</v>
      </c>
      <c r="B23" s="39">
        <v>45091</v>
      </c>
      <c r="C23" s="39">
        <v>45091</v>
      </c>
      <c r="D23" s="30" t="s">
        <v>226</v>
      </c>
      <c r="E23" s="101" t="s">
        <v>280</v>
      </c>
      <c r="F23" s="102">
        <f>1687-61-15-8</f>
        <v>1603</v>
      </c>
      <c r="G23" s="7" t="s">
        <v>3</v>
      </c>
      <c r="H23" s="11">
        <v>896.8</v>
      </c>
      <c r="I23" s="103">
        <f>F23*H23</f>
        <v>1437570.4</v>
      </c>
    </row>
    <row r="24" spans="1:10" s="100" customFormat="1" ht="15.75" customHeight="1" x14ac:dyDescent="0.2">
      <c r="A24" s="7">
        <v>19</v>
      </c>
      <c r="B24" s="39">
        <v>44909</v>
      </c>
      <c r="C24" s="39">
        <v>44909</v>
      </c>
      <c r="D24" s="30" t="s">
        <v>162</v>
      </c>
      <c r="E24" s="101" t="s">
        <v>42</v>
      </c>
      <c r="F24" s="102">
        <f>180-4-1</f>
        <v>175</v>
      </c>
      <c r="G24" s="7" t="s">
        <v>3</v>
      </c>
      <c r="H24" s="11">
        <v>4159.5</v>
      </c>
      <c r="I24" s="103">
        <f>+F24*H24</f>
        <v>727912.5</v>
      </c>
    </row>
    <row r="25" spans="1:10" s="99" customFormat="1" ht="15" customHeight="1" x14ac:dyDescent="0.2">
      <c r="A25" s="7">
        <v>20</v>
      </c>
      <c r="B25" s="39">
        <v>42777</v>
      </c>
      <c r="C25" s="39">
        <v>42777</v>
      </c>
      <c r="D25" s="30" t="s">
        <v>163</v>
      </c>
      <c r="E25" s="101" t="s">
        <v>21</v>
      </c>
      <c r="F25" s="102">
        <f>125-2-4-1-2-2-3-2-1-1-10-1</f>
        <v>96</v>
      </c>
      <c r="G25" s="7" t="s">
        <v>3</v>
      </c>
      <c r="H25" s="11">
        <v>2400</v>
      </c>
      <c r="I25" s="103">
        <f>+F25*H25</f>
        <v>230400</v>
      </c>
    </row>
    <row r="26" spans="1:10" s="100" customFormat="1" ht="15" customHeight="1" x14ac:dyDescent="0.2">
      <c r="A26" s="7">
        <v>21</v>
      </c>
      <c r="B26" s="39">
        <v>45077</v>
      </c>
      <c r="C26" s="39">
        <v>45077</v>
      </c>
      <c r="D26" s="30" t="s">
        <v>169</v>
      </c>
      <c r="E26" s="101" t="s">
        <v>279</v>
      </c>
      <c r="F26" s="102">
        <f>4100-53-14</f>
        <v>4033</v>
      </c>
      <c r="G26" s="7" t="s">
        <v>3</v>
      </c>
      <c r="H26" s="102">
        <v>374.06</v>
      </c>
      <c r="I26" s="103">
        <f t="shared" ref="I26:I31" si="3">F26*H26</f>
        <v>1508583.98</v>
      </c>
    </row>
    <row r="27" spans="1:10" s="98" customFormat="1" ht="15" customHeight="1" x14ac:dyDescent="0.25">
      <c r="A27" s="7">
        <v>22</v>
      </c>
      <c r="B27" s="114">
        <v>44538</v>
      </c>
      <c r="C27" s="114">
        <v>44538</v>
      </c>
      <c r="D27" s="115" t="s">
        <v>208</v>
      </c>
      <c r="E27" s="34" t="s">
        <v>188</v>
      </c>
      <c r="F27" s="116">
        <f>650-388-22-9-15-25-39</f>
        <v>152</v>
      </c>
      <c r="G27" s="33" t="s">
        <v>3</v>
      </c>
      <c r="H27" s="117">
        <v>808.3</v>
      </c>
      <c r="I27" s="118">
        <f t="shared" si="3"/>
        <v>122861.59999999999</v>
      </c>
    </row>
    <row r="28" spans="1:10" s="100" customFormat="1" ht="11.25" customHeight="1" x14ac:dyDescent="0.2">
      <c r="A28" s="7">
        <v>23</v>
      </c>
      <c r="B28" s="39">
        <v>44866</v>
      </c>
      <c r="C28" s="39">
        <v>44866</v>
      </c>
      <c r="D28" s="30" t="s">
        <v>245</v>
      </c>
      <c r="E28" s="101" t="s">
        <v>246</v>
      </c>
      <c r="F28" s="102">
        <f>300-191-4-31-12-9-1-10</f>
        <v>42</v>
      </c>
      <c r="G28" s="7" t="s">
        <v>3</v>
      </c>
      <c r="H28" s="11">
        <v>3763.61</v>
      </c>
      <c r="I28" s="103">
        <f t="shared" si="3"/>
        <v>158071.62</v>
      </c>
    </row>
    <row r="29" spans="1:10" s="12" customFormat="1" ht="24.75" customHeight="1" x14ac:dyDescent="0.25">
      <c r="A29" s="7">
        <v>24</v>
      </c>
      <c r="B29" s="39">
        <v>44923</v>
      </c>
      <c r="C29" s="39">
        <v>44923</v>
      </c>
      <c r="D29" s="30" t="s">
        <v>164</v>
      </c>
      <c r="E29" s="101" t="s">
        <v>30</v>
      </c>
      <c r="F29" s="116">
        <f>3100-727-496-786-156-53-22-43</f>
        <v>817</v>
      </c>
      <c r="G29" s="7" t="s">
        <v>3</v>
      </c>
      <c r="H29" s="123">
        <v>720</v>
      </c>
      <c r="I29" s="103">
        <f t="shared" si="3"/>
        <v>588240</v>
      </c>
    </row>
    <row r="30" spans="1:10" s="12" customFormat="1" ht="24.75" customHeight="1" x14ac:dyDescent="0.25">
      <c r="A30" s="7">
        <v>25</v>
      </c>
      <c r="B30" s="39">
        <v>45100</v>
      </c>
      <c r="C30" s="39">
        <v>45100</v>
      </c>
      <c r="D30" s="30" t="s">
        <v>164</v>
      </c>
      <c r="E30" s="101" t="s">
        <v>30</v>
      </c>
      <c r="F30" s="116">
        <v>1923</v>
      </c>
      <c r="G30" s="7" t="s">
        <v>3</v>
      </c>
      <c r="H30" s="123">
        <v>720.51</v>
      </c>
      <c r="I30" s="103">
        <f t="shared" si="3"/>
        <v>1385540.73</v>
      </c>
    </row>
    <row r="31" spans="1:10" s="12" customFormat="1" ht="20.25" customHeight="1" x14ac:dyDescent="0.25">
      <c r="A31" s="7">
        <v>26</v>
      </c>
      <c r="B31" s="39">
        <v>44921</v>
      </c>
      <c r="C31" s="39">
        <v>44921</v>
      </c>
      <c r="D31" s="30" t="s">
        <v>268</v>
      </c>
      <c r="E31" s="101" t="s">
        <v>248</v>
      </c>
      <c r="F31" s="116">
        <f>835-3-6-9-25-46-9-41-19-6</f>
        <v>671</v>
      </c>
      <c r="G31" s="7" t="s">
        <v>3</v>
      </c>
      <c r="H31" s="128">
        <v>1475</v>
      </c>
      <c r="I31" s="103">
        <f t="shared" si="3"/>
        <v>989725</v>
      </c>
      <c r="J31" s="104"/>
    </row>
    <row r="32" spans="1:10" s="12" customFormat="1" x14ac:dyDescent="0.25">
      <c r="A32" s="7">
        <v>27</v>
      </c>
      <c r="B32" s="39">
        <v>44774</v>
      </c>
      <c r="C32" s="39">
        <v>44774</v>
      </c>
      <c r="D32" s="30" t="s">
        <v>165</v>
      </c>
      <c r="E32" s="101" t="s">
        <v>25</v>
      </c>
      <c r="F32" s="102">
        <f>1150-455-44-257-46-9-5-8-6</f>
        <v>320</v>
      </c>
      <c r="G32" s="7" t="s">
        <v>3</v>
      </c>
      <c r="H32" s="11">
        <v>1073.8</v>
      </c>
      <c r="I32" s="103">
        <f t="shared" ref="I32" si="4">+F32*H32</f>
        <v>343616</v>
      </c>
    </row>
    <row r="33" spans="1:11" s="20" customFormat="1" x14ac:dyDescent="0.25">
      <c r="A33" s="7">
        <v>28</v>
      </c>
      <c r="B33" s="39">
        <v>44736</v>
      </c>
      <c r="C33" s="39">
        <v>44736</v>
      </c>
      <c r="D33" s="30" t="s">
        <v>216</v>
      </c>
      <c r="E33" s="101" t="s">
        <v>228</v>
      </c>
      <c r="F33" s="102">
        <f>217.3-43.3-3-30</f>
        <v>141</v>
      </c>
      <c r="G33" s="7" t="s">
        <v>217</v>
      </c>
      <c r="H33" s="105">
        <v>5654.2797975100002</v>
      </c>
      <c r="I33" s="103">
        <f>+F33*H33</f>
        <v>797253.45144891005</v>
      </c>
    </row>
    <row r="34" spans="1:11" s="12" customFormat="1" ht="23.25" customHeight="1" x14ac:dyDescent="0.25">
      <c r="A34" s="7">
        <v>29</v>
      </c>
      <c r="B34" s="39">
        <v>44352</v>
      </c>
      <c r="C34" s="39">
        <v>44352</v>
      </c>
      <c r="D34" s="30" t="s">
        <v>166</v>
      </c>
      <c r="E34" s="101" t="s">
        <v>86</v>
      </c>
      <c r="F34" s="102">
        <f>75-8-12-4-2-2-5-12-2-8-5-3</f>
        <v>12</v>
      </c>
      <c r="G34" s="7" t="s">
        <v>3</v>
      </c>
      <c r="H34" s="11">
        <v>336.3</v>
      </c>
      <c r="I34" s="103">
        <f t="shared" ref="I34:I38" si="5">F34*H34</f>
        <v>4035.6000000000004</v>
      </c>
    </row>
    <row r="35" spans="1:11" s="12" customFormat="1" x14ac:dyDescent="0.25">
      <c r="A35" s="7">
        <v>30</v>
      </c>
      <c r="B35" s="39">
        <v>44548</v>
      </c>
      <c r="C35" s="39">
        <v>44548</v>
      </c>
      <c r="D35" s="30" t="s">
        <v>207</v>
      </c>
      <c r="E35" s="101" t="s">
        <v>186</v>
      </c>
      <c r="F35" s="102">
        <f>591-4-2-2-10-12-90-110-28-94-7-9</f>
        <v>223</v>
      </c>
      <c r="G35" s="7" t="s">
        <v>3</v>
      </c>
      <c r="H35" s="11">
        <v>1006.54</v>
      </c>
      <c r="I35" s="103">
        <f t="shared" si="5"/>
        <v>224458.41999999998</v>
      </c>
    </row>
    <row r="36" spans="1:11" s="98" customFormat="1" x14ac:dyDescent="0.25">
      <c r="A36" s="7">
        <v>31</v>
      </c>
      <c r="B36" s="39">
        <v>44714</v>
      </c>
      <c r="C36" s="39">
        <v>44714</v>
      </c>
      <c r="D36" s="30" t="s">
        <v>207</v>
      </c>
      <c r="E36" s="101" t="s">
        <v>186</v>
      </c>
      <c r="F36" s="102">
        <v>625</v>
      </c>
      <c r="G36" s="7" t="s">
        <v>3</v>
      </c>
      <c r="H36" s="11">
        <v>1185.9000000000001</v>
      </c>
      <c r="I36" s="103">
        <f t="shared" si="5"/>
        <v>741187.5</v>
      </c>
    </row>
    <row r="37" spans="1:11" s="12" customFormat="1" ht="21.75" customHeight="1" x14ac:dyDescent="0.25">
      <c r="A37" s="7">
        <v>32</v>
      </c>
      <c r="B37" s="39">
        <v>44548</v>
      </c>
      <c r="C37" s="39">
        <v>44548</v>
      </c>
      <c r="D37" s="30" t="s">
        <v>167</v>
      </c>
      <c r="E37" s="101" t="s">
        <v>85</v>
      </c>
      <c r="F37" s="102">
        <f>565-1-4-24-5-98-5-9</f>
        <v>419</v>
      </c>
      <c r="G37" s="7" t="s">
        <v>3</v>
      </c>
      <c r="H37" s="11">
        <v>690.3</v>
      </c>
      <c r="I37" s="103">
        <f t="shared" si="5"/>
        <v>289235.69999999995</v>
      </c>
      <c r="J37" s="95"/>
      <c r="K37" s="95"/>
    </row>
    <row r="38" spans="1:11" s="98" customFormat="1" ht="21.75" customHeight="1" x14ac:dyDescent="0.25">
      <c r="A38" s="7">
        <v>33</v>
      </c>
      <c r="B38" s="39">
        <v>44714</v>
      </c>
      <c r="C38" s="39">
        <v>44714</v>
      </c>
      <c r="D38" s="30" t="s">
        <v>167</v>
      </c>
      <c r="E38" s="101" t="s">
        <v>85</v>
      </c>
      <c r="F38" s="102">
        <v>625</v>
      </c>
      <c r="G38" s="7" t="s">
        <v>3</v>
      </c>
      <c r="H38" s="11">
        <v>759.92</v>
      </c>
      <c r="I38" s="103">
        <f t="shared" si="5"/>
        <v>474950</v>
      </c>
      <c r="J38" s="106"/>
      <c r="K38" s="106"/>
    </row>
    <row r="39" spans="1:11" s="52" customFormat="1" ht="15.75" customHeight="1" x14ac:dyDescent="0.25">
      <c r="A39" s="51"/>
      <c r="E39" s="51"/>
      <c r="G39" s="51"/>
      <c r="H39" s="53" t="s">
        <v>18</v>
      </c>
      <c r="I39" s="54">
        <f>SUM(I6:I38)</f>
        <v>17203880.796548907</v>
      </c>
      <c r="J39" s="51"/>
      <c r="K39" s="51"/>
    </row>
    <row r="40" spans="1:11" s="52" customFormat="1" ht="15.75" customHeight="1" x14ac:dyDescent="0.25">
      <c r="E40" s="51"/>
      <c r="G40" s="51"/>
      <c r="H40" s="55"/>
      <c r="I40" s="56"/>
      <c r="J40" s="51"/>
      <c r="K40" s="51"/>
    </row>
    <row r="41" spans="1:11" s="52" customFormat="1" ht="15.75" customHeight="1" x14ac:dyDescent="0.25">
      <c r="E41" s="51"/>
      <c r="G41" s="51"/>
      <c r="H41" s="55"/>
      <c r="I41" s="56"/>
      <c r="J41" s="51"/>
      <c r="K41" s="51"/>
    </row>
    <row r="42" spans="1:11" s="52" customFormat="1" ht="15.75" customHeight="1" x14ac:dyDescent="0.25">
      <c r="E42" s="51"/>
      <c r="G42" s="51"/>
      <c r="H42" s="55"/>
      <c r="I42" s="56"/>
      <c r="J42" s="51"/>
      <c r="K42" s="51"/>
    </row>
    <row r="43" spans="1:11" x14ac:dyDescent="0.25">
      <c r="A43" s="141" t="s">
        <v>270</v>
      </c>
      <c r="B43" s="141"/>
      <c r="C43" s="141"/>
      <c r="D43" s="141"/>
      <c r="E43" s="141"/>
      <c r="F43" s="141"/>
      <c r="G43" s="141"/>
      <c r="H43" s="141"/>
      <c r="I43" s="141"/>
    </row>
    <row r="44" spans="1:11" x14ac:dyDescent="0.25">
      <c r="A44" s="163" t="s">
        <v>271</v>
      </c>
      <c r="B44" s="163"/>
      <c r="C44" s="163"/>
      <c r="D44" s="163"/>
      <c r="E44" s="163"/>
      <c r="F44" s="163"/>
      <c r="G44" s="163"/>
      <c r="H44" s="163"/>
      <c r="I44" s="163"/>
    </row>
    <row r="45" spans="1:11" x14ac:dyDescent="0.25">
      <c r="A45" s="141" t="s">
        <v>272</v>
      </c>
      <c r="B45" s="141"/>
      <c r="C45" s="141"/>
      <c r="D45" s="141"/>
      <c r="E45" s="141"/>
      <c r="F45" s="141"/>
      <c r="G45" s="141"/>
      <c r="H45" s="141"/>
      <c r="I45" s="141"/>
    </row>
    <row r="46" spans="1:11" x14ac:dyDescent="0.25">
      <c r="A46" s="141" t="s">
        <v>273</v>
      </c>
      <c r="B46" s="141"/>
      <c r="C46" s="141"/>
      <c r="D46" s="141"/>
      <c r="E46" s="141"/>
      <c r="F46" s="141"/>
      <c r="G46" s="141"/>
      <c r="H46" s="141"/>
      <c r="I46" s="141"/>
    </row>
    <row r="47" spans="1:11" s="49" customFormat="1" x14ac:dyDescent="0.25">
      <c r="A47" s="86"/>
      <c r="B47" s="151"/>
      <c r="C47" s="151"/>
      <c r="D47" s="151"/>
      <c r="E47" s="152"/>
      <c r="F47" s="152"/>
      <c r="G47" s="87"/>
      <c r="H47" s="153"/>
      <c r="I47" s="153"/>
    </row>
    <row r="48" spans="1:11" s="49" customFormat="1" x14ac:dyDescent="0.25">
      <c r="A48" s="86"/>
      <c r="B48" s="167"/>
      <c r="C48" s="167"/>
      <c r="D48" s="167"/>
      <c r="E48" s="167"/>
      <c r="F48" s="167"/>
      <c r="G48" s="88"/>
      <c r="H48" s="89"/>
      <c r="I48" s="88"/>
    </row>
    <row r="49" spans="1:11" s="49" customFormat="1" x14ac:dyDescent="0.25">
      <c r="A49" s="166"/>
      <c r="B49" s="166"/>
      <c r="C49" s="166"/>
      <c r="D49" s="166"/>
      <c r="E49" s="166"/>
      <c r="F49" s="166"/>
      <c r="G49" s="166"/>
      <c r="H49" s="166"/>
      <c r="I49" s="166"/>
    </row>
    <row r="50" spans="1:11" s="27" customFormat="1" ht="15.75" customHeight="1" x14ac:dyDescent="0.25">
      <c r="E50"/>
      <c r="F50" s="47"/>
      <c r="G50"/>
      <c r="H50" s="47"/>
      <c r="I50"/>
      <c r="J50"/>
      <c r="K50"/>
    </row>
    <row r="51" spans="1:11" s="27" customFormat="1" ht="14.25" customHeight="1" x14ac:dyDescent="0.25">
      <c r="F51" s="47"/>
      <c r="G51"/>
      <c r="H51" s="47"/>
      <c r="I51"/>
      <c r="J51"/>
      <c r="K51"/>
    </row>
    <row r="52" spans="1:11" s="27" customFormat="1" ht="14.25" customHeight="1" x14ac:dyDescent="0.25">
      <c r="B52" s="96"/>
      <c r="C52" s="96"/>
      <c r="D52" s="96"/>
      <c r="E52" s="96"/>
      <c r="F52" s="46"/>
      <c r="G52"/>
      <c r="H52" s="93"/>
      <c r="I52"/>
      <c r="J52"/>
      <c r="K52"/>
    </row>
    <row r="53" spans="1:11" s="27" customFormat="1" ht="14.25" customHeight="1" x14ac:dyDescent="0.25">
      <c r="A53"/>
      <c r="B53" s="81"/>
      <c r="C53" s="81"/>
      <c r="D53" s="81"/>
      <c r="E53" s="81"/>
      <c r="F53" s="81"/>
      <c r="G53"/>
      <c r="H53" s="93"/>
      <c r="I53" s="12"/>
      <c r="J53"/>
      <c r="K53"/>
    </row>
    <row r="54" spans="1:11" x14ac:dyDescent="0.25">
      <c r="B54" s="96"/>
      <c r="C54" s="96"/>
      <c r="D54" s="96"/>
      <c r="E54" s="96"/>
      <c r="F54" s="96"/>
      <c r="G54" s="107"/>
      <c r="H54" s="93"/>
    </row>
    <row r="55" spans="1:11" x14ac:dyDescent="0.25">
      <c r="B55" s="96"/>
      <c r="C55" s="96"/>
      <c r="D55" s="96"/>
      <c r="E55" s="96"/>
      <c r="F55" s="96"/>
      <c r="G55" s="96"/>
      <c r="H55" s="96"/>
    </row>
    <row r="56" spans="1:11" x14ac:dyDescent="0.25">
      <c r="B56" s="96"/>
      <c r="C56" s="96"/>
      <c r="D56" s="96"/>
      <c r="E56" s="96"/>
      <c r="F56" s="96"/>
      <c r="G56" s="96"/>
      <c r="H56" s="96"/>
      <c r="I56" s="103"/>
    </row>
    <row r="60" spans="1:11" x14ac:dyDescent="0.25">
      <c r="I60" s="26"/>
    </row>
    <row r="61" spans="1:11" x14ac:dyDescent="0.25">
      <c r="H61" s="48"/>
      <c r="I61" s="49"/>
    </row>
    <row r="62" spans="1:11" x14ac:dyDescent="0.25">
      <c r="H62" s="50"/>
      <c r="I62" s="49"/>
    </row>
    <row r="63" spans="1:11" x14ac:dyDescent="0.25">
      <c r="H63" s="50"/>
      <c r="I63" s="49"/>
    </row>
    <row r="64" spans="1:11" x14ac:dyDescent="0.25">
      <c r="H64" s="50"/>
      <c r="I64" s="49"/>
    </row>
    <row r="139" spans="5:5" ht="15.75" x14ac:dyDescent="0.25">
      <c r="E139" s="60" t="s">
        <v>242</v>
      </c>
    </row>
  </sheetData>
  <mergeCells count="15">
    <mergeCell ref="A43:I43"/>
    <mergeCell ref="A44:I44"/>
    <mergeCell ref="A45:I45"/>
    <mergeCell ref="A46:I46"/>
    <mergeCell ref="A49:I49"/>
    <mergeCell ref="B47:D47"/>
    <mergeCell ref="E47:F47"/>
    <mergeCell ref="H47:I47"/>
    <mergeCell ref="B48:D48"/>
    <mergeCell ref="E48:F48"/>
    <mergeCell ref="A1:I1"/>
    <mergeCell ref="A2:I2"/>
    <mergeCell ref="A3:I3"/>
    <mergeCell ref="A4:I4"/>
    <mergeCell ref="F5:G5"/>
  </mergeCells>
  <pageMargins left="0.81" right="0.12" top="1" bottom="1" header="0.5" footer="0.5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22" sqref="H22"/>
    </sheetView>
  </sheetViews>
  <sheetFormatPr baseColWidth="10" defaultRowHeight="15" x14ac:dyDescent="0.25"/>
  <cols>
    <col min="1" max="1" width="6.42578125" customWidth="1"/>
    <col min="2" max="2" width="15.28515625" customWidth="1"/>
    <col min="3" max="3" width="14" customWidth="1"/>
    <col min="4" max="4" width="11.42578125" customWidth="1"/>
    <col min="5" max="5" width="25.28515625" customWidth="1"/>
    <col min="6" max="6" width="8.5703125" customWidth="1"/>
    <col min="7" max="7" width="10.28515625" customWidth="1"/>
    <col min="8" max="8" width="15.5703125" customWidth="1"/>
    <col min="9" max="9" width="15.7109375" customWidth="1"/>
    <col min="10" max="10" width="12.28515625" customWidth="1"/>
  </cols>
  <sheetData>
    <row r="1" spans="1:11" x14ac:dyDescent="0.25">
      <c r="A1" s="141"/>
      <c r="B1" s="141"/>
      <c r="C1" s="141"/>
      <c r="D1" s="141"/>
      <c r="E1" s="141"/>
      <c r="F1" s="141"/>
      <c r="G1" s="141"/>
      <c r="H1" s="141"/>
      <c r="I1" s="141"/>
    </row>
    <row r="7" spans="1:11" ht="18.75" x14ac:dyDescent="0.3">
      <c r="A7" s="168" t="s">
        <v>26</v>
      </c>
      <c r="B7" s="168"/>
      <c r="C7" s="168"/>
      <c r="D7" s="168"/>
      <c r="E7" s="168"/>
      <c r="F7" s="168"/>
      <c r="G7" s="168"/>
      <c r="H7" s="168"/>
      <c r="I7" s="168"/>
    </row>
    <row r="8" spans="1:11" ht="15.75" x14ac:dyDescent="0.25">
      <c r="A8" s="144" t="s">
        <v>90</v>
      </c>
      <c r="B8" s="144"/>
      <c r="C8" s="144"/>
      <c r="D8" s="144"/>
      <c r="E8" s="144"/>
      <c r="F8" s="144"/>
      <c r="G8" s="144"/>
      <c r="H8" s="144"/>
      <c r="I8" s="144"/>
    </row>
    <row r="9" spans="1:11" ht="15.75" x14ac:dyDescent="0.25">
      <c r="A9" s="145" t="s">
        <v>290</v>
      </c>
      <c r="B9" s="145"/>
      <c r="C9" s="145"/>
      <c r="D9" s="145"/>
      <c r="E9" s="145"/>
      <c r="F9" s="145"/>
      <c r="G9" s="145"/>
      <c r="H9" s="145"/>
      <c r="I9" s="145"/>
    </row>
    <row r="10" spans="1:11" ht="47.25" x14ac:dyDescent="0.25">
      <c r="A10" s="15" t="s">
        <v>0</v>
      </c>
      <c r="B10" s="16" t="s">
        <v>19</v>
      </c>
      <c r="C10" s="16" t="s">
        <v>95</v>
      </c>
      <c r="D10" s="16" t="s">
        <v>91</v>
      </c>
      <c r="E10" s="17" t="s">
        <v>1</v>
      </c>
      <c r="F10" s="169" t="s">
        <v>2</v>
      </c>
      <c r="G10" s="170"/>
      <c r="H10" s="16" t="s">
        <v>22</v>
      </c>
      <c r="I10" s="18" t="s">
        <v>17</v>
      </c>
      <c r="J10" s="62"/>
    </row>
    <row r="11" spans="1:11" s="12" customFormat="1" ht="15.75" x14ac:dyDescent="0.25">
      <c r="A11" s="108">
        <v>1</v>
      </c>
      <c r="B11" s="109">
        <v>44183</v>
      </c>
      <c r="C11" s="109">
        <v>44183</v>
      </c>
      <c r="D11" s="129" t="s">
        <v>92</v>
      </c>
      <c r="E11" s="110" t="s">
        <v>59</v>
      </c>
      <c r="F11" s="108">
        <f>435-14-5-3-10-16-24-14-11-14-9-7-8-15-5-19-8-7-6-10-9-20-18-19-7-44-12-18-10-12-6-3</f>
        <v>52</v>
      </c>
      <c r="G11" s="108" t="s">
        <v>4</v>
      </c>
      <c r="H11" s="111">
        <v>559</v>
      </c>
      <c r="I11" s="111">
        <f>+F11*H11</f>
        <v>29068</v>
      </c>
      <c r="J11" s="63"/>
    </row>
    <row r="12" spans="1:11" s="12" customFormat="1" ht="15.75" x14ac:dyDescent="0.25">
      <c r="A12" s="108">
        <v>2</v>
      </c>
      <c r="B12" s="109">
        <v>44183</v>
      </c>
      <c r="C12" s="109">
        <v>44183</v>
      </c>
      <c r="D12" s="129" t="s">
        <v>93</v>
      </c>
      <c r="E12" s="110" t="s">
        <v>47</v>
      </c>
      <c r="F12" s="108">
        <f>435-11-10-11-9-11-2-9-5-3-5-2-1-8-3-1-40-5-14-6-38-10-7-5-8-5</f>
        <v>206</v>
      </c>
      <c r="G12" s="108" t="s">
        <v>4</v>
      </c>
      <c r="H12" s="111">
        <v>527.46</v>
      </c>
      <c r="I12" s="111">
        <f>+F12*H12</f>
        <v>108656.76000000001</v>
      </c>
      <c r="J12" s="63"/>
    </row>
    <row r="13" spans="1:11" x14ac:dyDescent="0.25">
      <c r="H13" s="3" t="s">
        <v>18</v>
      </c>
      <c r="I13" s="4">
        <f>SUM(I11:I12)</f>
        <v>137724.76</v>
      </c>
      <c r="J13" s="26"/>
      <c r="K13" s="26"/>
    </row>
    <row r="14" spans="1:11" x14ac:dyDescent="0.25">
      <c r="H14" s="13"/>
      <c r="I14" s="80"/>
      <c r="J14" s="26"/>
      <c r="K14" s="26"/>
    </row>
    <row r="15" spans="1:11" x14ac:dyDescent="0.25">
      <c r="H15" s="13"/>
      <c r="I15" s="80"/>
      <c r="J15" s="26"/>
      <c r="K15" s="26"/>
    </row>
    <row r="16" spans="1:11" x14ac:dyDescent="0.25">
      <c r="H16" s="13"/>
      <c r="I16" s="80"/>
      <c r="J16" s="26"/>
      <c r="K16" s="26"/>
    </row>
    <row r="17" spans="1:9" x14ac:dyDescent="0.25">
      <c r="A17" s="141" t="s">
        <v>270</v>
      </c>
      <c r="B17" s="141"/>
      <c r="C17" s="141"/>
      <c r="D17" s="141"/>
      <c r="E17" s="141"/>
      <c r="F17" s="141"/>
      <c r="G17" s="141"/>
      <c r="H17" s="141"/>
      <c r="I17" s="141"/>
    </row>
    <row r="18" spans="1:9" x14ac:dyDescent="0.25">
      <c r="A18" s="163" t="s">
        <v>271</v>
      </c>
      <c r="B18" s="163"/>
      <c r="C18" s="163"/>
      <c r="D18" s="163"/>
      <c r="E18" s="163"/>
      <c r="F18" s="163"/>
      <c r="G18" s="163"/>
      <c r="H18" s="163"/>
      <c r="I18" s="163"/>
    </row>
    <row r="19" spans="1:9" x14ac:dyDescent="0.25">
      <c r="A19" s="141" t="s">
        <v>272</v>
      </c>
      <c r="B19" s="141"/>
      <c r="C19" s="141"/>
      <c r="D19" s="141"/>
      <c r="E19" s="141"/>
      <c r="F19" s="141"/>
      <c r="G19" s="141"/>
      <c r="H19" s="141"/>
      <c r="I19" s="141"/>
    </row>
    <row r="20" spans="1:9" x14ac:dyDescent="0.25">
      <c r="A20" s="141" t="s">
        <v>273</v>
      </c>
      <c r="B20" s="141"/>
      <c r="C20" s="141"/>
      <c r="D20" s="141"/>
      <c r="E20" s="141"/>
      <c r="F20" s="141"/>
      <c r="G20" s="141"/>
      <c r="H20" s="141"/>
      <c r="I20" s="141"/>
    </row>
    <row r="21" spans="1:9" x14ac:dyDescent="0.25">
      <c r="A21" s="151"/>
      <c r="B21" s="151"/>
      <c r="C21" s="151"/>
      <c r="D21" s="152"/>
      <c r="E21" s="152"/>
      <c r="F21" s="77"/>
      <c r="G21" s="153"/>
      <c r="H21" s="153"/>
    </row>
    <row r="22" spans="1:9" x14ac:dyDescent="0.25">
      <c r="A22" s="147"/>
      <c r="B22" s="147"/>
      <c r="C22" s="147"/>
      <c r="D22" s="147"/>
      <c r="E22" s="147"/>
      <c r="F22" s="78"/>
      <c r="G22" s="79"/>
      <c r="H22" s="78"/>
    </row>
    <row r="23" spans="1:9" x14ac:dyDescent="0.25">
      <c r="A23" s="141"/>
      <c r="B23" s="141"/>
      <c r="C23" s="141"/>
      <c r="D23" s="141"/>
      <c r="E23" s="141"/>
      <c r="F23" s="141"/>
      <c r="G23" s="141"/>
      <c r="H23" s="141"/>
      <c r="I23" s="141"/>
    </row>
    <row r="24" spans="1:9" x14ac:dyDescent="0.25">
      <c r="A24" s="163"/>
      <c r="B24" s="163"/>
      <c r="C24" s="163"/>
      <c r="D24" s="163"/>
      <c r="E24" s="163"/>
      <c r="F24" s="163"/>
      <c r="G24" s="163"/>
      <c r="H24" s="163"/>
      <c r="I24" s="163"/>
    </row>
    <row r="25" spans="1:9" x14ac:dyDescent="0.25">
      <c r="A25" s="141"/>
      <c r="B25" s="141"/>
      <c r="C25" s="141"/>
      <c r="D25" s="141"/>
      <c r="E25" s="141"/>
      <c r="F25" s="141"/>
      <c r="G25" s="141"/>
      <c r="H25" s="141"/>
      <c r="I25" s="141"/>
    </row>
    <row r="26" spans="1:9" x14ac:dyDescent="0.25">
      <c r="A26" s="171"/>
      <c r="B26" s="171"/>
      <c r="C26" s="171"/>
      <c r="D26" s="171"/>
      <c r="E26" s="171"/>
      <c r="F26" s="171"/>
      <c r="G26" s="171"/>
      <c r="H26" s="171"/>
      <c r="I26" s="171"/>
    </row>
  </sheetData>
  <mergeCells count="18">
    <mergeCell ref="A17:I17"/>
    <mergeCell ref="A18:I18"/>
    <mergeCell ref="A19:I19"/>
    <mergeCell ref="A20:I20"/>
    <mergeCell ref="A21:C21"/>
    <mergeCell ref="D21:E21"/>
    <mergeCell ref="G21:H21"/>
    <mergeCell ref="A22:C22"/>
    <mergeCell ref="D22:E22"/>
    <mergeCell ref="A24:I24"/>
    <mergeCell ref="A25:I25"/>
    <mergeCell ref="A26:I26"/>
    <mergeCell ref="A23:I23"/>
    <mergeCell ref="A1:I1"/>
    <mergeCell ref="A7:I7"/>
    <mergeCell ref="A8:I8"/>
    <mergeCell ref="A9:I9"/>
    <mergeCell ref="F10:G10"/>
  </mergeCells>
  <pageMargins left="0.36" right="0.12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LIMP. </vt:lpstr>
      <vt:lpstr>OFC. </vt:lpstr>
      <vt:lpstr>IND.</vt:lpstr>
      <vt:lpstr>SALUD </vt:lpstr>
      <vt:lpstr>IND.!Área_de_impresión</vt:lpstr>
      <vt:lpstr>'LIMP. '!Área_de_impresión</vt:lpstr>
      <vt:lpstr>'OFC. '!Área_de_impresión</vt:lpstr>
      <vt:lpstr>'SALUD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Estela Samboy Lora</cp:lastModifiedBy>
  <cp:lastPrinted>2023-07-07T17:57:17Z</cp:lastPrinted>
  <dcterms:created xsi:type="dcterms:W3CDTF">2016-04-16T04:21:59Z</dcterms:created>
  <dcterms:modified xsi:type="dcterms:W3CDTF">2023-07-07T18:45:58Z</dcterms:modified>
</cp:coreProperties>
</file>