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santiago\Desktop\GESTION GRAL. OZORIA\WILLIAN\INVENTARIO Y CIERRE SEMESTRAL\JULIO 2024\"/>
    </mc:Choice>
  </mc:AlternateContent>
  <bookViews>
    <workbookView xWindow="0" yWindow="0" windowWidth="21690" windowHeight="9240" activeTab="4"/>
  </bookViews>
  <sheets>
    <sheet name="MAT. DE OFIC." sheetId="2" r:id="rId1"/>
    <sheet name="INDUMENTARIA" sheetId="1" r:id="rId2"/>
    <sheet name="HIGIENE" sheetId="3" r:id="rId3"/>
    <sheet name="SALUD" sheetId="4" r:id="rId4"/>
    <sheet name="TALLER" sheetId="9" r:id="rId5"/>
  </sheets>
  <definedNames>
    <definedName name="_xlnm.Print_Area" localSheetId="2">HIGIENE!$A$1:$I$46</definedName>
    <definedName name="_xlnm.Print_Area" localSheetId="1">INDUMENTARIA!$A$1:$I$58</definedName>
    <definedName name="_xlnm.Print_Area" localSheetId="0">'MAT. DE OFIC.'!$A$1:$I$175</definedName>
    <definedName name="_xlnm.Print_Area" localSheetId="3">SALUD!$A$1:$I$25</definedName>
    <definedName name="_xlnm.Print_Area" localSheetId="4">TALLER!$A$1:$I$138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0" i="9" l="1"/>
  <c r="I19" i="9"/>
  <c r="I20" i="9"/>
  <c r="I21" i="9"/>
  <c r="I22" i="9"/>
  <c r="I16" i="9"/>
  <c r="I23" i="9"/>
  <c r="I24" i="9"/>
  <c r="I14" i="9"/>
  <c r="I25" i="9"/>
  <c r="I26" i="9"/>
  <c r="I15" i="9"/>
  <c r="I27" i="9"/>
  <c r="I17" i="9"/>
  <c r="I28" i="9"/>
  <c r="I29" i="9"/>
  <c r="I30" i="9"/>
  <c r="I31" i="9"/>
  <c r="I32" i="9"/>
  <c r="I33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9" i="9"/>
  <c r="I50" i="9"/>
  <c r="I52" i="9"/>
  <c r="I53" i="9"/>
  <c r="I54" i="9"/>
  <c r="I55" i="9"/>
  <c r="I56" i="9"/>
  <c r="I58" i="9"/>
  <c r="I60" i="9"/>
  <c r="I61" i="9"/>
  <c r="I62" i="9"/>
  <c r="I63" i="9"/>
  <c r="I65" i="9"/>
  <c r="I66" i="9"/>
  <c r="I67" i="9"/>
  <c r="I68" i="9"/>
  <c r="I69" i="9"/>
  <c r="I70" i="9"/>
  <c r="I71" i="9"/>
  <c r="I72" i="9"/>
  <c r="I73" i="9"/>
  <c r="I75" i="9"/>
  <c r="I76" i="9"/>
  <c r="I77" i="9"/>
  <c r="I78" i="9"/>
  <c r="I79" i="9"/>
  <c r="I80" i="9"/>
  <c r="I81" i="9"/>
  <c r="I82" i="9"/>
  <c r="I83" i="9"/>
  <c r="I84" i="9"/>
  <c r="I85" i="9"/>
  <c r="I86" i="9"/>
  <c r="I88" i="9"/>
  <c r="I89" i="9"/>
  <c r="I90" i="9"/>
  <c r="I91" i="9"/>
  <c r="I92" i="9"/>
  <c r="I93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2" i="9"/>
  <c r="I113" i="9"/>
  <c r="I114" i="9"/>
  <c r="I115" i="9"/>
  <c r="I116" i="9"/>
  <c r="I117" i="9"/>
  <c r="I118" i="9"/>
  <c r="I121" i="9"/>
  <c r="I122" i="9"/>
  <c r="I124" i="9"/>
  <c r="I125" i="9"/>
  <c r="I126" i="9"/>
  <c r="I127" i="9"/>
  <c r="I128" i="9"/>
  <c r="I129" i="9"/>
  <c r="I35" i="2" l="1"/>
  <c r="I19" i="2"/>
  <c r="F38" i="3" l="1"/>
  <c r="F33" i="3"/>
  <c r="F32" i="3"/>
  <c r="F31" i="3"/>
  <c r="F29" i="3"/>
  <c r="F26" i="3"/>
  <c r="F25" i="3"/>
  <c r="F19" i="3"/>
  <c r="F18" i="3"/>
  <c r="F17" i="3"/>
  <c r="F16" i="3"/>
  <c r="F14" i="3"/>
  <c r="F12" i="3"/>
  <c r="F64" i="9" l="1"/>
  <c r="I64" i="9" s="1"/>
  <c r="F87" i="9"/>
  <c r="I87" i="9" s="1"/>
  <c r="F48" i="9"/>
  <c r="I48" i="9" s="1"/>
  <c r="I24" i="3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31" i="2"/>
  <c r="I32" i="2"/>
  <c r="I80" i="2"/>
  <c r="I81" i="2"/>
  <c r="I82" i="2"/>
  <c r="I83" i="2"/>
  <c r="I84" i="2"/>
  <c r="I85" i="2"/>
  <c r="I86" i="2"/>
  <c r="I87" i="2"/>
  <c r="I88" i="2"/>
  <c r="I89" i="2"/>
  <c r="F20" i="1" l="1"/>
  <c r="I20" i="1" l="1"/>
  <c r="I21" i="1" l="1"/>
  <c r="F40" i="2" l="1"/>
  <c r="F39" i="2"/>
  <c r="F38" i="2"/>
  <c r="F34" i="2"/>
  <c r="F37" i="2"/>
  <c r="F33" i="2"/>
  <c r="F30" i="2"/>
  <c r="F29" i="2"/>
  <c r="F28" i="2"/>
  <c r="F25" i="2"/>
  <c r="F24" i="2"/>
  <c r="F22" i="2"/>
  <c r="F21" i="2"/>
  <c r="F20" i="2"/>
  <c r="F18" i="2"/>
  <c r="F17" i="2"/>
  <c r="F13" i="2"/>
  <c r="F28" i="3" l="1"/>
  <c r="I28" i="1" l="1"/>
  <c r="I29" i="1"/>
  <c r="F22" i="1" l="1"/>
  <c r="F26" i="1"/>
  <c r="F25" i="1"/>
  <c r="F23" i="1"/>
  <c r="F42" i="1"/>
  <c r="F27" i="1"/>
  <c r="F46" i="1"/>
  <c r="F39" i="1"/>
  <c r="F35" i="1"/>
  <c r="F43" i="1"/>
  <c r="F24" i="1"/>
  <c r="F30" i="1"/>
  <c r="F16" i="4" l="1"/>
  <c r="I124" i="2"/>
  <c r="I120" i="2"/>
  <c r="I125" i="2"/>
  <c r="I121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21" i="3"/>
  <c r="I22" i="3"/>
  <c r="I23" i="3"/>
  <c r="F34" i="9" l="1"/>
  <c r="I34" i="9" s="1"/>
  <c r="F57" i="9"/>
  <c r="I57" i="9" s="1"/>
  <c r="F111" i="9"/>
  <c r="I111" i="9" s="1"/>
  <c r="F74" i="9"/>
  <c r="I74" i="9" s="1"/>
  <c r="F51" i="9"/>
  <c r="I51" i="9" s="1"/>
  <c r="I12" i="9"/>
  <c r="F123" i="9"/>
  <c r="I123" i="9" s="1"/>
  <c r="H94" i="9"/>
  <c r="F18" i="9"/>
  <c r="I18" i="9" s="1"/>
  <c r="I13" i="9"/>
  <c r="F120" i="9"/>
  <c r="I120" i="9" s="1"/>
  <c r="F119" i="9"/>
  <c r="I119" i="9" s="1"/>
  <c r="K59" i="9"/>
  <c r="F59" i="9"/>
  <c r="I59" i="9" s="1"/>
  <c r="I18" i="1" l="1"/>
  <c r="I19" i="1"/>
  <c r="I22" i="1"/>
  <c r="I23" i="1"/>
  <c r="I24" i="1"/>
  <c r="I25" i="1"/>
  <c r="I26" i="1"/>
  <c r="I27" i="1"/>
  <c r="I30" i="1"/>
  <c r="F48" i="1" l="1"/>
  <c r="F44" i="1" l="1"/>
  <c r="F16" i="1"/>
  <c r="F140" i="2" l="1"/>
  <c r="I140" i="2" s="1"/>
  <c r="F141" i="2"/>
  <c r="I141" i="2" s="1"/>
  <c r="F142" i="2"/>
  <c r="I142" i="2" s="1"/>
  <c r="I143" i="2"/>
  <c r="I144" i="2"/>
  <c r="I145" i="2"/>
  <c r="I146" i="2"/>
  <c r="I147" i="2"/>
  <c r="F110" i="2" l="1"/>
  <c r="F105" i="2"/>
  <c r="F104" i="2"/>
  <c r="F103" i="2"/>
  <c r="I103" i="2" s="1"/>
  <c r="F102" i="2"/>
  <c r="F101" i="2"/>
  <c r="F100" i="2"/>
  <c r="F99" i="2"/>
  <c r="F94" i="2"/>
  <c r="F163" i="2"/>
  <c r="F91" i="2"/>
  <c r="F90" i="2"/>
  <c r="F55" i="2"/>
  <c r="F51" i="2"/>
  <c r="F50" i="2"/>
  <c r="F53" i="2"/>
  <c r="F42" i="2"/>
  <c r="I52" i="2"/>
  <c r="F15" i="3" l="1"/>
  <c r="F164" i="2"/>
  <c r="F113" i="2"/>
  <c r="F112" i="2"/>
  <c r="F108" i="2"/>
  <c r="F97" i="2"/>
  <c r="F93" i="2"/>
  <c r="F92" i="2"/>
  <c r="F56" i="2"/>
  <c r="F54" i="2"/>
  <c r="F49" i="2"/>
  <c r="F48" i="2"/>
  <c r="F46" i="2"/>
  <c r="F44" i="2"/>
  <c r="F36" i="2"/>
  <c r="F26" i="2"/>
  <c r="F23" i="2"/>
  <c r="F12" i="2"/>
  <c r="F47" i="1"/>
  <c r="F34" i="1"/>
  <c r="F32" i="1"/>
  <c r="F17" i="1"/>
  <c r="F15" i="1"/>
  <c r="F14" i="1"/>
  <c r="F33" i="1" l="1"/>
  <c r="I33" i="1" s="1"/>
  <c r="F31" i="1"/>
  <c r="I31" i="1" s="1"/>
  <c r="H16" i="1"/>
  <c r="F52" i="1" l="1"/>
  <c r="F50" i="1"/>
  <c r="I32" i="1"/>
  <c r="F13" i="1"/>
  <c r="F123" i="2"/>
  <c r="F118" i="2"/>
  <c r="F117" i="2"/>
  <c r="F57" i="2"/>
  <c r="L16" i="4" l="1"/>
  <c r="F166" i="2" l="1"/>
  <c r="F122" i="2"/>
  <c r="F111" i="2"/>
  <c r="F51" i="1" l="1"/>
  <c r="F49" i="1"/>
  <c r="F45" i="1"/>
  <c r="F41" i="1"/>
  <c r="F38" i="1"/>
  <c r="I15" i="1" l="1"/>
  <c r="I163" i="2" l="1"/>
  <c r="I123" i="2"/>
  <c r="I118" i="2"/>
  <c r="I113" i="2"/>
  <c r="F109" i="2"/>
  <c r="I109" i="2" s="1"/>
  <c r="I105" i="2"/>
  <c r="I101" i="2"/>
  <c r="I94" i="2"/>
  <c r="I91" i="2"/>
  <c r="I90" i="2"/>
  <c r="I55" i="2"/>
  <c r="I54" i="2"/>
  <c r="I50" i="2"/>
  <c r="I44" i="2"/>
  <c r="I38" i="2"/>
  <c r="I36" i="2"/>
  <c r="I33" i="2"/>
  <c r="I23" i="2"/>
  <c r="I21" i="2"/>
  <c r="I17" i="2"/>
  <c r="I16" i="2"/>
  <c r="I13" i="2"/>
  <c r="I15" i="3"/>
  <c r="I25" i="3"/>
  <c r="I16" i="4"/>
  <c r="I17" i="4" s="1"/>
  <c r="I20" i="3"/>
  <c r="I19" i="3"/>
  <c r="I18" i="3"/>
  <c r="I17" i="3"/>
  <c r="I16" i="3"/>
  <c r="I14" i="3"/>
  <c r="I13" i="3"/>
  <c r="I12" i="3"/>
  <c r="I166" i="2"/>
  <c r="F165" i="2"/>
  <c r="I165" i="2" s="1"/>
  <c r="I164" i="2"/>
  <c r="I162" i="2"/>
  <c r="I161" i="2"/>
  <c r="F160" i="2"/>
  <c r="I160" i="2" s="1"/>
  <c r="I159" i="2"/>
  <c r="I158" i="2"/>
  <c r="F157" i="2"/>
  <c r="I157" i="2" s="1"/>
  <c r="I156" i="2"/>
  <c r="I155" i="2"/>
  <c r="F154" i="2"/>
  <c r="I154" i="2" s="1"/>
  <c r="I153" i="2"/>
  <c r="I152" i="2"/>
  <c r="F151" i="2"/>
  <c r="I151" i="2" s="1"/>
  <c r="I150" i="2"/>
  <c r="I149" i="2"/>
  <c r="I148" i="2"/>
  <c r="I122" i="2"/>
  <c r="F119" i="2"/>
  <c r="I119" i="2" s="1"/>
  <c r="I117" i="2"/>
  <c r="I116" i="2"/>
  <c r="I115" i="2"/>
  <c r="I114" i="2"/>
  <c r="I112" i="2"/>
  <c r="I111" i="2"/>
  <c r="I110" i="2"/>
  <c r="I108" i="2"/>
  <c r="I107" i="2"/>
  <c r="I106" i="2"/>
  <c r="I104" i="2"/>
  <c r="I102" i="2"/>
  <c r="I100" i="2"/>
  <c r="I99" i="2"/>
  <c r="I98" i="2"/>
  <c r="I97" i="2"/>
  <c r="I96" i="2"/>
  <c r="I95" i="2"/>
  <c r="I93" i="2"/>
  <c r="I92" i="2"/>
  <c r="I57" i="2"/>
  <c r="I56" i="2"/>
  <c r="I53" i="2"/>
  <c r="I51" i="2"/>
  <c r="I49" i="2"/>
  <c r="I48" i="2"/>
  <c r="I47" i="2"/>
  <c r="I46" i="2"/>
  <c r="I45" i="2"/>
  <c r="I43" i="2"/>
  <c r="I42" i="2"/>
  <c r="I41" i="2"/>
  <c r="I40" i="2"/>
  <c r="I39" i="2"/>
  <c r="I37" i="2"/>
  <c r="I34" i="2"/>
  <c r="I30" i="2"/>
  <c r="I29" i="2"/>
  <c r="I28" i="2"/>
  <c r="I27" i="2"/>
  <c r="I26" i="2"/>
  <c r="I25" i="2"/>
  <c r="I24" i="2"/>
  <c r="I22" i="2"/>
  <c r="I20" i="2"/>
  <c r="I18" i="2"/>
  <c r="I15" i="2"/>
  <c r="I14" i="2"/>
  <c r="I12" i="2"/>
  <c r="I167" i="2" l="1"/>
  <c r="I39" i="3"/>
  <c r="I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F36" i="1"/>
  <c r="I36" i="1" s="1"/>
  <c r="I35" i="1"/>
  <c r="I34" i="1"/>
  <c r="I17" i="1"/>
  <c r="I16" i="1"/>
  <c r="I14" i="1"/>
  <c r="I13" i="1"/>
  <c r="F12" i="1"/>
  <c r="I12" i="1" s="1"/>
  <c r="I53" i="1" l="1"/>
</calcChain>
</file>

<file path=xl/sharedStrings.xml><?xml version="1.0" encoding="utf-8"?>
<sst xmlns="http://schemas.openxmlformats.org/spreadsheetml/2006/main" count="1252" uniqueCount="624">
  <si>
    <t xml:space="preserve">                                                    </t>
  </si>
  <si>
    <t>DIRECCION GENERAL DE SEGURIDAD Y TRANSITO DE TRANSPORTE TERRESTRE</t>
  </si>
  <si>
    <t>No.</t>
  </si>
  <si>
    <t>FECHA DE ADQUISICION Y REGISTRO</t>
  </si>
  <si>
    <t>FECHA DE  REGISTRO</t>
  </si>
  <si>
    <t>CODIGO INST.</t>
  </si>
  <si>
    <t>DESCRIPCION</t>
  </si>
  <si>
    <t>CANTIDAD</t>
  </si>
  <si>
    <t>PRECIO UNITARIO</t>
  </si>
  <si>
    <t>TOTAL CANT.</t>
  </si>
  <si>
    <t>03038</t>
  </si>
  <si>
    <t>KIT DE BENGALAS REFLECTIVAS</t>
  </si>
  <si>
    <t>U/D</t>
  </si>
  <si>
    <t>03003</t>
  </si>
  <si>
    <t>BASTON DE TRAFICO CON LUCES LED MULTIUSOS</t>
  </si>
  <si>
    <t>03005</t>
  </si>
  <si>
    <t>BANDERAS NACIONAL 4 X 6 (GRANDE)</t>
  </si>
  <si>
    <t>03008</t>
  </si>
  <si>
    <t>BOTAS TIPO POLICIAL O MILITAR</t>
  </si>
  <si>
    <t>03009</t>
  </si>
  <si>
    <t>CAMISAS MANGA CORTA</t>
  </si>
  <si>
    <t>03010</t>
  </si>
  <si>
    <t xml:space="preserve">CAMISAS MANGAS LARGAS </t>
  </si>
  <si>
    <t>03040</t>
  </si>
  <si>
    <t>CAMISETAS COLOR BLANCO</t>
  </si>
  <si>
    <t>03028</t>
  </si>
  <si>
    <t>CALZONCILLOS TIPO BOXER</t>
  </si>
  <si>
    <t>03035</t>
  </si>
  <si>
    <t>CINTURONES CON SUS ACCESORIAS</t>
  </si>
  <si>
    <t>03015</t>
  </si>
  <si>
    <t>CORREAS NYLON NEGRA SIN HEBILLA</t>
  </si>
  <si>
    <t>03014</t>
  </si>
  <si>
    <t>03016</t>
  </si>
  <si>
    <t>CORBATAS NEGRA</t>
  </si>
  <si>
    <t>03020</t>
  </si>
  <si>
    <t xml:space="preserve">CHAMACOS GRIS CON SU GORRAS </t>
  </si>
  <si>
    <t xml:space="preserve">CHAMACO DE FAENA PARA ENTRENAMIENTO </t>
  </si>
  <si>
    <t>03022</t>
  </si>
  <si>
    <t>GORRAS VERDES DIGESETT</t>
  </si>
  <si>
    <t>03045</t>
  </si>
  <si>
    <t>GUANTES REFLECTIVOS</t>
  </si>
  <si>
    <t>OVEROL DIGESETT PARA GRUEROS</t>
  </si>
  <si>
    <t>03027</t>
  </si>
  <si>
    <t>03041</t>
  </si>
  <si>
    <t>PARES DE MEDIAS FINAS COLOR NEGRO</t>
  </si>
  <si>
    <t>03048</t>
  </si>
  <si>
    <t xml:space="preserve">SOGA DE NYLON 10MM, VARIOS COLORES </t>
  </si>
  <si>
    <t>ROLLO</t>
  </si>
  <si>
    <t>03044</t>
  </si>
  <si>
    <t>FRAZADA DE LANA TIPO MILITAR</t>
  </si>
  <si>
    <t>03018</t>
  </si>
  <si>
    <t>JUEGO DE CUBRE COLCHON Y FORRO DE ALMOHADAS</t>
  </si>
  <si>
    <t>03007</t>
  </si>
  <si>
    <t>ZAPATOS TIPO POLICIAL O MILITAR</t>
  </si>
  <si>
    <t xml:space="preserve">COLCHONES DE GOMA TIPO MILITAR </t>
  </si>
  <si>
    <t>TOTAL FINAL $</t>
  </si>
  <si>
    <t xml:space="preserve">                                                          </t>
  </si>
  <si>
    <t xml:space="preserve"> INVENTARIO MATERIALES DE OFICINA</t>
  </si>
  <si>
    <t xml:space="preserve">No. </t>
  </si>
  <si>
    <t>PRECIOS UNIT.</t>
  </si>
  <si>
    <t>02092</t>
  </si>
  <si>
    <t xml:space="preserve">ARCHIVO ACORDEON 8 1/2 X 11 </t>
  </si>
  <si>
    <t>ARCHIVO ACORDEON 8 1/2 X 14</t>
  </si>
  <si>
    <t>02106</t>
  </si>
  <si>
    <t xml:space="preserve">ARGOLLAS </t>
  </si>
  <si>
    <t>02093</t>
  </si>
  <si>
    <t>BANDEJA DE ESCRITORIO 2 NIVELES</t>
  </si>
  <si>
    <t>02002</t>
  </si>
  <si>
    <t>BANDA ELASTICAS</t>
  </si>
  <si>
    <t>02094</t>
  </si>
  <si>
    <t>BINDER NO. 10 COLOR VERDE</t>
  </si>
  <si>
    <t>02108</t>
  </si>
  <si>
    <t>BOLIGRAFOS EN GEL</t>
  </si>
  <si>
    <t>02003</t>
  </si>
  <si>
    <t xml:space="preserve">BOLIGRAFOS </t>
  </si>
  <si>
    <t>02109</t>
  </si>
  <si>
    <t xml:space="preserve">BORRAS </t>
  </si>
  <si>
    <t>02117</t>
  </si>
  <si>
    <t>CINTA A COLOR YMCKO EVOLIS HIGHTRST</t>
  </si>
  <si>
    <t>02096</t>
  </si>
  <si>
    <t>CINTA ADHESIVA</t>
  </si>
  <si>
    <t xml:space="preserve">CINTA DE EMPAQUE </t>
  </si>
  <si>
    <t>02118</t>
  </si>
  <si>
    <t xml:space="preserve">CHINCHETAS </t>
  </si>
  <si>
    <t>CAJAS</t>
  </si>
  <si>
    <t>02119</t>
  </si>
  <si>
    <t>CLIP NO.1</t>
  </si>
  <si>
    <t>02028</t>
  </si>
  <si>
    <t xml:space="preserve">CLIPS PEQUEÑOS </t>
  </si>
  <si>
    <t>02029</t>
  </si>
  <si>
    <t>CLIPS GRANDES</t>
  </si>
  <si>
    <t>02120</t>
  </si>
  <si>
    <t>CLIP BILLETERO NO.1</t>
  </si>
  <si>
    <t>02031</t>
  </si>
  <si>
    <t>CLIPS BILLETEROS GRAND.</t>
  </si>
  <si>
    <t>02121</t>
  </si>
  <si>
    <t>CLIP BILLETERO NO.2</t>
  </si>
  <si>
    <t>02033</t>
  </si>
  <si>
    <t xml:space="preserve">DISPENSADOR DE CINTAS </t>
  </si>
  <si>
    <t>02124</t>
  </si>
  <si>
    <t>FOLDERS MANILA 8 1/2 X 11   1/100</t>
  </si>
  <si>
    <t>02125</t>
  </si>
  <si>
    <t>FOLDERS MANILA 8 1/2 X 14   1/100</t>
  </si>
  <si>
    <t>02122</t>
  </si>
  <si>
    <t>FOLDERS PARTITION DE 6 DIV. AZUL 1/16</t>
  </si>
  <si>
    <t>FOLDERS PARTITION DE 6 DIV. ROJO 1/16</t>
  </si>
  <si>
    <t>02039</t>
  </si>
  <si>
    <t>GANCHO DE CARPETA MACHO Y HEMBRA</t>
  </si>
  <si>
    <t>02042</t>
  </si>
  <si>
    <t>GRAPA 0.25</t>
  </si>
  <si>
    <t>02044</t>
  </si>
  <si>
    <t>LAPIZ</t>
  </si>
  <si>
    <t>02160</t>
  </si>
  <si>
    <t>LABEL ADHESIVO PARA FOLDER 10/1</t>
  </si>
  <si>
    <t>02045</t>
  </si>
  <si>
    <t>LIBRETAS RAYADAS 8 1/2 X 11</t>
  </si>
  <si>
    <t>02129</t>
  </si>
  <si>
    <t xml:space="preserve">MARCADORES </t>
  </si>
  <si>
    <t>02049</t>
  </si>
  <si>
    <t>PAPEL PLOTERS 36 x 150´´</t>
  </si>
  <si>
    <t>PAPEL PLOTERS 11X17</t>
  </si>
  <si>
    <t>RESMA</t>
  </si>
  <si>
    <t>02052</t>
  </si>
  <si>
    <t>PAPEL BOND 8 1/2 X 11 BLANCO</t>
  </si>
  <si>
    <t>02053</t>
  </si>
  <si>
    <t>PAPEL BOND 8 1/2 X 14 BLANCO</t>
  </si>
  <si>
    <t>02130</t>
  </si>
  <si>
    <t>PERFORADORA DE DOS HOYOS</t>
  </si>
  <si>
    <t>02131</t>
  </si>
  <si>
    <t>PERFORADORA DE TRES HOYOS</t>
  </si>
  <si>
    <t>02100</t>
  </si>
  <si>
    <t xml:space="preserve">PORTA CLIP </t>
  </si>
  <si>
    <t>02056</t>
  </si>
  <si>
    <t>PORTA LAPIZ</t>
  </si>
  <si>
    <t>02057</t>
  </si>
  <si>
    <t>POSTIT GRANDE 3X5</t>
  </si>
  <si>
    <t>02058</t>
  </si>
  <si>
    <t>POSTIT MEDIANO 3X3</t>
  </si>
  <si>
    <t>02101</t>
  </si>
  <si>
    <t>POSTIT MEDIANO 2X3</t>
  </si>
  <si>
    <t>02060</t>
  </si>
  <si>
    <t>REGLA 12"</t>
  </si>
  <si>
    <t>02054</t>
  </si>
  <si>
    <t>ROLLO DE PAPEL SUMADORA</t>
  </si>
  <si>
    <t>02061</t>
  </si>
  <si>
    <t>SACAPUNTAS</t>
  </si>
  <si>
    <t>02134</t>
  </si>
  <si>
    <t>SOBRES TIMBRADO NO. 10</t>
  </si>
  <si>
    <t>SOBRES EN HILO TIMBRADO NO. 10</t>
  </si>
  <si>
    <t>CAJA</t>
  </si>
  <si>
    <t>02133</t>
  </si>
  <si>
    <t>SOBRE MANILA 9X12 500/1</t>
  </si>
  <si>
    <t>02064</t>
  </si>
  <si>
    <t>SOBRE MANILA NO.7 100/1</t>
  </si>
  <si>
    <t>02135</t>
  </si>
  <si>
    <t>TABLA DE CHEQUEO</t>
  </si>
  <si>
    <t>02066</t>
  </si>
  <si>
    <t xml:space="preserve">TALONARIOS SALIDA  DE ALMACEN </t>
  </si>
  <si>
    <t xml:space="preserve"> 27/12/2019</t>
  </si>
  <si>
    <t>02067</t>
  </si>
  <si>
    <t>TALONARIOS DE PEDIDO DE ALMACEN</t>
  </si>
  <si>
    <t>02102</t>
  </si>
  <si>
    <t xml:space="preserve">TINTA PARA  SELLOS </t>
  </si>
  <si>
    <t>02068</t>
  </si>
  <si>
    <t>02009</t>
  </si>
  <si>
    <t>CARTUCHO CYAN(4836A)</t>
  </si>
  <si>
    <t>02010</t>
  </si>
  <si>
    <t>CARTUCHO MARGETA(4837A)</t>
  </si>
  <si>
    <t>02011</t>
  </si>
  <si>
    <t>CARTUCHO YELLOW(4838A)</t>
  </si>
  <si>
    <t>02136</t>
  </si>
  <si>
    <t xml:space="preserve">TONER HP CE285A </t>
  </si>
  <si>
    <t>02137</t>
  </si>
  <si>
    <t xml:space="preserve">TONER HP CF217A </t>
  </si>
  <si>
    <t>02138</t>
  </si>
  <si>
    <t xml:space="preserve">TONER HP CF283A </t>
  </si>
  <si>
    <t>02140</t>
  </si>
  <si>
    <t xml:space="preserve">TONER HP CB2435A </t>
  </si>
  <si>
    <t>02139</t>
  </si>
  <si>
    <t>02141</t>
  </si>
  <si>
    <t xml:space="preserve">TONER HP CF280A </t>
  </si>
  <si>
    <t>02142</t>
  </si>
  <si>
    <t xml:space="preserve">TINTA EPSON T544 BLACK  </t>
  </si>
  <si>
    <t>02143</t>
  </si>
  <si>
    <t>02144</t>
  </si>
  <si>
    <t xml:space="preserve">TINTA EPSON T544 YELLOW </t>
  </si>
  <si>
    <t>02145</t>
  </si>
  <si>
    <t>TINTA EPSON T544 MAGENTA</t>
  </si>
  <si>
    <t>02146</t>
  </si>
  <si>
    <t xml:space="preserve">TINTA EPSON T664 BLACK </t>
  </si>
  <si>
    <t>02147</t>
  </si>
  <si>
    <t>TINTA EPSON T664 CYAN</t>
  </si>
  <si>
    <t>02148</t>
  </si>
  <si>
    <t>TINTA EPSON T664  YELLOW</t>
  </si>
  <si>
    <t>02149</t>
  </si>
  <si>
    <t>TINTA EPSON T664  MAGENTA</t>
  </si>
  <si>
    <t>02154</t>
  </si>
  <si>
    <t>TINTA 51 BLACK</t>
  </si>
  <si>
    <t>02155</t>
  </si>
  <si>
    <t>TINTA 51 CYAN</t>
  </si>
  <si>
    <t>02156</t>
  </si>
  <si>
    <t>TINTA 52 MAGENTA</t>
  </si>
  <si>
    <t>02157</t>
  </si>
  <si>
    <t>TINTA 52 YELLOW</t>
  </si>
  <si>
    <t>02099</t>
  </si>
  <si>
    <t>PAPEL TIMBRADO 8 1/2 X 14</t>
  </si>
  <si>
    <t>02050</t>
  </si>
  <si>
    <t xml:space="preserve">PAPEL TIMBRADO 8 1/2 X 11 </t>
  </si>
  <si>
    <t>TONER HP 278 A</t>
  </si>
  <si>
    <t xml:space="preserve"> INVENTARIO MATERIALES DE LIMPIEZA</t>
  </si>
  <si>
    <t>FECHA DE ADQUISICION /  REGISTRO</t>
  </si>
  <si>
    <t>01023</t>
  </si>
  <si>
    <t>01003</t>
  </si>
  <si>
    <t>01034</t>
  </si>
  <si>
    <t>01004</t>
  </si>
  <si>
    <t>CEPILLO DE PARED</t>
  </si>
  <si>
    <t>01005</t>
  </si>
  <si>
    <t>CUBETAS PLASTICAS</t>
  </si>
  <si>
    <t>GLS</t>
  </si>
  <si>
    <t>01025</t>
  </si>
  <si>
    <t>01030</t>
  </si>
  <si>
    <t>DESGRASANTE</t>
  </si>
  <si>
    <t>GAL</t>
  </si>
  <si>
    <t>01028</t>
  </si>
  <si>
    <t>ESCOBA PLASTICA CON PALO DE MD.</t>
  </si>
  <si>
    <t>01032</t>
  </si>
  <si>
    <t>GUANTES DE LIMPIEZA</t>
  </si>
  <si>
    <t>PAR</t>
  </si>
  <si>
    <t>01026</t>
  </si>
  <si>
    <t xml:space="preserve">JABON LIQUIDO </t>
  </si>
  <si>
    <t>01031</t>
  </si>
  <si>
    <t>LIMPIADOR DE CERAMICA</t>
  </si>
  <si>
    <t>01040</t>
  </si>
  <si>
    <t xml:space="preserve">SUAPER </t>
  </si>
  <si>
    <t>01018</t>
  </si>
  <si>
    <t>FALDO</t>
  </si>
  <si>
    <t>01021</t>
  </si>
  <si>
    <t xml:space="preserve"> INVENTARIO DE PRODUCTOS DE SALUD  </t>
  </si>
  <si>
    <t>GEL ANTIBACTERIAL</t>
  </si>
  <si>
    <t xml:space="preserve">INVENTARIO PRENDAS DE VESTIR </t>
  </si>
  <si>
    <t>ÁNGEL RAMÓN VICENTE JEREZ</t>
  </si>
  <si>
    <t>Capitán, P.N.</t>
  </si>
  <si>
    <r>
      <t xml:space="preserve">Encargado de la División de Almacén y Suministro, </t>
    </r>
    <r>
      <rPr>
        <b/>
        <sz val="12"/>
        <color theme="1"/>
        <rFont val="Arial"/>
        <family val="2"/>
      </rPr>
      <t>DIGESETT</t>
    </r>
    <r>
      <rPr>
        <sz val="12"/>
        <color theme="1"/>
        <rFont val="Arial"/>
        <family val="2"/>
      </rPr>
      <t>.</t>
    </r>
  </si>
  <si>
    <t>VJ. -</t>
  </si>
  <si>
    <t>BANDERAS INSTITUCIONALES 4 X 6 (GRANDE)</t>
  </si>
  <si>
    <t>03004</t>
  </si>
  <si>
    <t>05001</t>
  </si>
  <si>
    <t xml:space="preserve">CENTELLAS BARRAS DE LUCES </t>
  </si>
  <si>
    <t>05002</t>
  </si>
  <si>
    <t>SISTEMA DE ALTOPARLANTE</t>
  </si>
  <si>
    <t>JUEGO DE PANTALLA DELANTERO, CAMIONETA TOYOTA HILUX 2014</t>
  </si>
  <si>
    <t>JUEGO DE BANDAS DE FRENOS DELANTERAS, GRUA ISUZU</t>
  </si>
  <si>
    <t>JUEGO DE EPARRAGOS DELANTERO L, GRUA ISUZU</t>
  </si>
  <si>
    <t>JUEDO DE EPARRAGOS DELANTERO R, GRUA ISUZU</t>
  </si>
  <si>
    <t>LUZ DIRECCIONAL L PUERTA IZQUIERDA, GRUA ISUZO</t>
  </si>
  <si>
    <t>LUZ DIRECCIONAL L PUERTA DERECHA, GRUA ISUZU</t>
  </si>
  <si>
    <t>PAR DE PANTALLAS DELANTERA CAMION HYNDAY 2016 Y GRUA HYNDAI 2022</t>
  </si>
  <si>
    <t>JUEGO ESQUINERO CAMION HYNDAI 2016 Y GRUA HYDAI 2022</t>
  </si>
  <si>
    <t>JUEGO BANDA DE FRENO DELANTERA, CAMIONETA NISSAN FRONTIER 214 Y D25</t>
  </si>
  <si>
    <t>MANGUERA DE CALIPER LADO DERECHO, CAMIONETA MAZDA BT50 2018 Y 2021</t>
  </si>
  <si>
    <t>MANGUERA DE CALIPER, CAMIONETA MAZDA BT50 2018 Y 2021</t>
  </si>
  <si>
    <t>JUEGO DE BANDA DE FRENO TRASERA, CAMIONETA TOYOTA HILUX 2014</t>
  </si>
  <si>
    <t>JUEGO DE FAROLES TRACEROS, CAMIONETA TOYOTA HILUX 2014</t>
  </si>
  <si>
    <t>TAPON RADIADOR, GRUA ISUZU</t>
  </si>
  <si>
    <t>PAR DE PANTALLA DELANTERA, GRUA ISUZU</t>
  </si>
  <si>
    <t>JUEGO DE ESQUINERO IZQUIERDO, GRUA ISUZU</t>
  </si>
  <si>
    <t>JUEGO DE BANDA DE FRENO DELANTERA, GRUA MITSUBISHI FUSON 2014</t>
  </si>
  <si>
    <t>JUEGOS DE FAROLES TRASEROS, GRUA MITSUBISHI FUSON 2014</t>
  </si>
  <si>
    <t>JUEGOS DE FAROLES DELANTERA, GRUA MITSUBISHI FUSON</t>
  </si>
  <si>
    <t>JUEGO DE BANDA DE FRENO DELANTERA, CAMIONETA MITSUBISHI L200 SPORETEO 2022</t>
  </si>
  <si>
    <t>LUZ TRASERA, GRUA ISUZU</t>
  </si>
  <si>
    <t>05003</t>
  </si>
  <si>
    <t>05012</t>
  </si>
  <si>
    <t>05013</t>
  </si>
  <si>
    <t>05004</t>
  </si>
  <si>
    <t>JUEGO BANDA DE FRENO DELANTERA, CAMIONETA TOYOTA HILUX 2014</t>
  </si>
  <si>
    <t>05006</t>
  </si>
  <si>
    <t>05015</t>
  </si>
  <si>
    <t>05014</t>
  </si>
  <si>
    <t>05019</t>
  </si>
  <si>
    <t>05022</t>
  </si>
  <si>
    <t>05007</t>
  </si>
  <si>
    <t>05016</t>
  </si>
  <si>
    <t>050018</t>
  </si>
  <si>
    <t>05008</t>
  </si>
  <si>
    <t>05020</t>
  </si>
  <si>
    <t>05009</t>
  </si>
  <si>
    <t>05029</t>
  </si>
  <si>
    <t>05030</t>
  </si>
  <si>
    <t>05031</t>
  </si>
  <si>
    <t>JUEGO DE EPARRAGOS TRASEROS L, GRUA ISUZU</t>
  </si>
  <si>
    <t>05032</t>
  </si>
  <si>
    <t>JUEGO DE EPARRAGOS TRASEROS R, GRUA ISUZU</t>
  </si>
  <si>
    <t>05023</t>
  </si>
  <si>
    <t>05024</t>
  </si>
  <si>
    <t>05021</t>
  </si>
  <si>
    <t>05025</t>
  </si>
  <si>
    <t>JUEGOS DE LUCES TRASERA CAMION HYNDAY 2022</t>
  </si>
  <si>
    <t>05027</t>
  </si>
  <si>
    <t>05010</t>
  </si>
  <si>
    <t>05028</t>
  </si>
  <si>
    <t>PATAS DE CLOCHES, CAMIONETA NISSAN FRONTIER 2014 Y D25</t>
  </si>
  <si>
    <t>05026</t>
  </si>
  <si>
    <t>05050</t>
  </si>
  <si>
    <t>05052</t>
  </si>
  <si>
    <t>05055</t>
  </si>
  <si>
    <t>05057</t>
  </si>
  <si>
    <t>BATERIA 13/12 POLO INVERSO MOTOCRAFT BTX24FB AMER</t>
  </si>
  <si>
    <t>BATERIA 13/12 POLO CONVENCIONAL MOTOCRAFT BTX24A AMER</t>
  </si>
  <si>
    <t>BATERIA 15/12 POLO INVERSO MOTOCRAFT 94R AMER</t>
  </si>
  <si>
    <t>BATERIA 9/12 MOTOCRAFT BXL65 AMER TRATOR</t>
  </si>
  <si>
    <t>BATERIA 12V 9 ªMP HOSUYA JP</t>
  </si>
  <si>
    <t>BATERIA 12V 5 ªMP HOSUYA JP</t>
  </si>
  <si>
    <t>BATERIA 12V 12 ªMP HOSUYA JP</t>
  </si>
  <si>
    <t>BATERIA 17/12 POLO ATORNILLADO MOTOCRAFT BH31 AMER</t>
  </si>
  <si>
    <t>05034</t>
  </si>
  <si>
    <t>05035</t>
  </si>
  <si>
    <t>05037</t>
  </si>
  <si>
    <t>05039</t>
  </si>
  <si>
    <t>05040</t>
  </si>
  <si>
    <t>05042</t>
  </si>
  <si>
    <t>05043</t>
  </si>
  <si>
    <t>NEUMATICOS PARA MOTOCICLETAS No. 120/70R17</t>
  </si>
  <si>
    <t>NEUMATICOS PARA MOTOCICLETAS No. 100/90/R18</t>
  </si>
  <si>
    <t>05046</t>
  </si>
  <si>
    <t>05047</t>
  </si>
  <si>
    <t>265/65/R18 112T BRIDGESTONE DUELER HT 684 ll</t>
  </si>
  <si>
    <t>245/65/R17 105T FIRESTONE DESTINA A/T2</t>
  </si>
  <si>
    <t>NEUMATICOS PARA MOTOCICLETAS No. 90/90/R21</t>
  </si>
  <si>
    <t>TUBOS PARA MOTOCICLETAS No. 350/400-18</t>
  </si>
  <si>
    <t>245/70 R19.5 129M SUMITOMO S T718</t>
  </si>
  <si>
    <t>7.00R16 12PR 116/114L BRISDGESTONE R230 (JP) SET</t>
  </si>
  <si>
    <t>05059</t>
  </si>
  <si>
    <t>PIÑON DEL PATEO YAMAHA XTZ 125 CC ORIGINAL</t>
  </si>
  <si>
    <t>CILINDO STD YAMAHA XTZ 125 CC ORIGINAL</t>
  </si>
  <si>
    <t>SELLO DE VALVULA YAMAHA XTZ 125 CC ORIGINAL</t>
  </si>
  <si>
    <t>AUTOMATICO DEL ENCENDIDO YAMAHA XTZ 125 CC ORIGINAL</t>
  </si>
  <si>
    <t>BUJIA YAMAHA XTZ 125 CC ORIGINAL</t>
  </si>
  <si>
    <t>DISCO DE FRENO DELANTERO YAMAHA XTZ 125 CC ORIGINAL</t>
  </si>
  <si>
    <t>EJE DE CATALINA PEQUEÑA YAMAHA XTZ 125 CC ORIGINAL</t>
  </si>
  <si>
    <t>PALANCA DE VELICIDADES YAMAHA XTZ 125 CC ORIGINAL</t>
  </si>
  <si>
    <t>RETENEDORA DE EJE DE CAMBIO YAMAHA XTZ 125 CC ORIGINAL</t>
  </si>
  <si>
    <t>JUEGO VALVULA ADMISION Y ESCAPE YAMAHA XTZ 125 CC</t>
  </si>
  <si>
    <t>CACHIMBO DE BIJIA YAMAHA XTZ 125 CC ORIGINAL</t>
  </si>
  <si>
    <t>BANDA DELANTERA DE FRENO MOTOCICLETAS X1000 250 CC ORIGINAL</t>
  </si>
  <si>
    <t>BANDA TRASERA DE FRENO MOTOCICLETAS X1000 250 CC ORIGINAL</t>
  </si>
  <si>
    <t>CABLE DE ACELERADOR MOTOCICLETAS X1000 2501 CC ORIGINAL</t>
  </si>
  <si>
    <t>MANECILLAS DE FRENOS MOTOCICLETAS X1000 250 CC ORIGINAL</t>
  </si>
  <si>
    <t>JUEGO DE ESPEJOS RETROVISOR MOTOCICLETAS X1000 250 CC ORIGINAL</t>
  </si>
  <si>
    <t>CILINDRO MOTOCICLETAS X1000 250 CC ORIGINAL</t>
  </si>
  <si>
    <t>EJE DE CATRE MOTOCICLETAS X1000 250 CC ORIGINAL</t>
  </si>
  <si>
    <t>JUEGOS DE ESCOBILLA DE MOTOR DE ARRANQUE CF MOTOR ORIGINAL</t>
  </si>
  <si>
    <t>BANDA DE FRENOS TRASERA SHINERAY ORIGINAL</t>
  </si>
  <si>
    <t>JUEGO DE DISCO DE CLUTCH SHINERAY ORIGINAL</t>
  </si>
  <si>
    <t>JUEGO DE CATALINA Y CADENA SHINERAY ORIGINAL</t>
  </si>
  <si>
    <t>JUEGO DE GOMA DE TAMBOR SHINERAY ORIGINAL</t>
  </si>
  <si>
    <t>VALVULA DE ESCAPE Y ADMISION SHINERAY ORIGINAL</t>
  </si>
  <si>
    <t>MANECILLA DE CLUTCH SHINERAY ORIGINAL</t>
  </si>
  <si>
    <t>MANECILLA DE FRENO SHINERAY ORIGINAL</t>
  </si>
  <si>
    <t>CABLE ACELERADOR SHINERAY ORIGINAL</t>
  </si>
  <si>
    <t>CABLE DE CLUTCH SHINERAY ORIGINAL</t>
  </si>
  <si>
    <t>JUEGO DE TAZA SHINERAY ORIGINAL</t>
  </si>
  <si>
    <t>DISCO DE FRENOS TRASERO SHINERAY ORIGINAL</t>
  </si>
  <si>
    <t>JUEGO DE SELLO DE VALVULA SHINERAY ORIGINAL</t>
  </si>
  <si>
    <t>JUEGO DE LEVA CON SUS PIÑONES SHINERAY ORIGINAL</t>
  </si>
  <si>
    <t>CAMPO SHINERAY ORIGINAL</t>
  </si>
  <si>
    <t>CDI SHINERAY ORGINAL</t>
  </si>
  <si>
    <t>05060</t>
  </si>
  <si>
    <t>05061</t>
  </si>
  <si>
    <t>05062</t>
  </si>
  <si>
    <t>05063</t>
  </si>
  <si>
    <t>05064</t>
  </si>
  <si>
    <t>05065</t>
  </si>
  <si>
    <t>05066</t>
  </si>
  <si>
    <t>05067</t>
  </si>
  <si>
    <t>05068</t>
  </si>
  <si>
    <t>05069</t>
  </si>
  <si>
    <t>05070</t>
  </si>
  <si>
    <t>05071</t>
  </si>
  <si>
    <t>05072</t>
  </si>
  <si>
    <t>05074</t>
  </si>
  <si>
    <t>05075</t>
  </si>
  <si>
    <t>05076</t>
  </si>
  <si>
    <t>05077</t>
  </si>
  <si>
    <t>05078</t>
  </si>
  <si>
    <t>05079</t>
  </si>
  <si>
    <t>05083</t>
  </si>
  <si>
    <t>05085</t>
  </si>
  <si>
    <t>05087</t>
  </si>
  <si>
    <t>05088</t>
  </si>
  <si>
    <t>05089</t>
  </si>
  <si>
    <t>05090</t>
  </si>
  <si>
    <t>05091</t>
  </si>
  <si>
    <t>05092</t>
  </si>
  <si>
    <t>05093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</si>
  <si>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</si>
  <si>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</si>
  <si>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</si>
  <si>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</si>
  <si>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</si>
  <si>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</si>
  <si>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</si>
  <si>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</si>
  <si>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</si>
  <si>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23/042024</t>
  </si>
  <si>
    <t>CENTRO DE CLUCH YAMAHA XTZ 125 CC ORIGINAL</t>
  </si>
  <si>
    <t>JGO CATALINA Y CADENA HONDA XR150 ORIGINAL</t>
  </si>
  <si>
    <t>MANECILLA DE FRENO HONDA XR150 ORIGINAL</t>
  </si>
  <si>
    <t>BANDA F/DELANTERA HONDA XR 150 ORIGINAL</t>
  </si>
  <si>
    <t>BUJIA HONDA XR150 ORIGINAL</t>
  </si>
  <si>
    <t>JGO DISCO DE CLUTCH HONDA XR150 ORIGINAL</t>
  </si>
  <si>
    <t>CADENITA DISTRIBUCION HONDA XR150 CC ORIGINAL</t>
  </si>
  <si>
    <t>JGO DE TECLA HONDA XR150 CC ORIGINAL</t>
  </si>
  <si>
    <t>MANIFOR HONDA XR150 ORIGINAL</t>
  </si>
  <si>
    <t>CABLE DE CLUTCH HONDA XR 150CC ORIGINAL</t>
  </si>
  <si>
    <t>JGO ESPEJO RETROVISORES HONDA XR 150 CC ORIGINAL</t>
  </si>
  <si>
    <t>JUNTA DE CULATA HONDA XR150 CC ORIGINAL</t>
  </si>
  <si>
    <t>JGO VALVULA DE ESCAPE Y ADMISION ORIGINAL</t>
  </si>
  <si>
    <t>COPA DE CENTRIFUGO HONDA XR 150 CC ORIGINAL</t>
  </si>
  <si>
    <t>CAJA DE BOLA No. 6302 ORIGINAL</t>
  </si>
  <si>
    <t>CAJA DE BOLA No. 6303 ORIGINAL</t>
  </si>
  <si>
    <t>CAJA DE BOLA No. 6301 ORIGINAL</t>
  </si>
  <si>
    <t>CABLE DE ACELERADOR HONDA XR 150CC ORIGINAL</t>
  </si>
  <si>
    <t xml:space="preserve">BOMBA DE FRENO HONDA XR 150CC ORIGINAL </t>
  </si>
  <si>
    <t>EJE DE LEVA HONDA XR 150CC ORIGINAL</t>
  </si>
  <si>
    <t xml:space="preserve">TAMBOR TRASERO HONDA XR 150CC ORIGINAL </t>
  </si>
  <si>
    <t>TIMON HONDA XR 150CC ORIGINAL</t>
  </si>
  <si>
    <t xml:space="preserve">BANDA F/D DELANTERA YAMAHA XTZ 1125CC ORIGINAL </t>
  </si>
  <si>
    <t xml:space="preserve">BANDA TRASERA YAMAHA XTZ 125CC ORIGINAL </t>
  </si>
  <si>
    <t>JGO CATALINA Y CADENA YAMAHA XTZ 125CC ORIGINAL</t>
  </si>
  <si>
    <t>JGO DISCO DE CLUTCH YAMAHA XTZ 125CC ORIGINAL</t>
  </si>
  <si>
    <t>CABLE DE CLUTCH YAMAHA XTZ 125CC ORIGINAL</t>
  </si>
  <si>
    <t>CABLE DE ACELERADOR YAMAHA XTZ 125CC ORIGINAL</t>
  </si>
  <si>
    <t>05103</t>
  </si>
  <si>
    <t>05104</t>
  </si>
  <si>
    <t>05105</t>
  </si>
  <si>
    <t>05106</t>
  </si>
  <si>
    <t>05107</t>
  </si>
  <si>
    <t>05109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</si>
  <si>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</si>
  <si>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</si>
  <si>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</si>
  <si>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</si>
  <si>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</si>
  <si>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</si>
  <si>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</si>
  <si>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</si>
  <si>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05119</t>
  </si>
  <si>
    <t>05120</t>
  </si>
  <si>
    <t>05121</t>
  </si>
  <si>
    <t>05122</t>
  </si>
  <si>
    <t>05123</t>
  </si>
  <si>
    <t>05124</t>
  </si>
  <si>
    <t>05125</t>
  </si>
  <si>
    <t>05126</t>
  </si>
  <si>
    <t>05127</t>
  </si>
  <si>
    <t>05128</t>
  </si>
  <si>
    <t>05129</t>
  </si>
  <si>
    <t>05130</t>
  </si>
  <si>
    <t>Encargado de la División de Almacén y Suministro, DIGESETT.</t>
  </si>
  <si>
    <t>ml. -</t>
  </si>
  <si>
    <t>FECHA 
ADQUISICION / 
 REGISTRO</t>
  </si>
  <si>
    <t>FECHA DE  
REGISTRO</t>
  </si>
  <si>
    <t>CODIGO
 INST.</t>
  </si>
  <si>
    <t>FECHA DE
  REGISTRO</t>
  </si>
  <si>
    <t xml:space="preserve">INVENTARIO ALMACEN DE PIEZAS MECANICA </t>
  </si>
  <si>
    <t>TONER HP CF278 A</t>
  </si>
  <si>
    <t>TONER CF230A/051CANON</t>
  </si>
  <si>
    <t>TONER BLACK 131/CF210</t>
  </si>
  <si>
    <t>TONER CYAN 131A/CF211</t>
  </si>
  <si>
    <t>TONER CYAN 131A/CF212</t>
  </si>
  <si>
    <t>TONER CYAN 131A/CF213</t>
  </si>
  <si>
    <t>CINTA COLOR YMCKO 300</t>
  </si>
  <si>
    <t>TINTA BROTHERS BLACK  BTD60</t>
  </si>
  <si>
    <t>TINTA BROTHEDERS CYAN  BT5001</t>
  </si>
  <si>
    <t>TINTA BHODERS YELLOW  BT5001</t>
  </si>
  <si>
    <t>TINTA BROTHERS MAGENTA BT5001</t>
  </si>
  <si>
    <t>TINTA EPSON T544 BLACK</t>
  </si>
  <si>
    <t>TINTA EPSON CYAN T544</t>
  </si>
  <si>
    <t>TINTA EPSON YELOW T544</t>
  </si>
  <si>
    <t>TINTA EPSON MAGENTA  T544</t>
  </si>
  <si>
    <t xml:space="preserve">PARES DE GUANTES MANOS FUERTES </t>
  </si>
  <si>
    <t>ZAFACON PARA BAÑOS CON TAPA VAYVEN</t>
  </si>
  <si>
    <t xml:space="preserve">ZAFACON PARA OFICINA DE METAL </t>
  </si>
  <si>
    <t xml:space="preserve">ESCOBA PLASTICA LINDA </t>
  </si>
  <si>
    <t>AMBIENTADOR EN SPRAY GLADE 8 ONZ</t>
  </si>
  <si>
    <t>CLORO LIQUIDO AKOO</t>
  </si>
  <si>
    <t>DESINFECTANTE LIQUIDO AKOO</t>
  </si>
  <si>
    <t>DESINFECTANTE EN SPRAY LYSOL 19 ONZ</t>
  </si>
  <si>
    <t>LIMPIADOR DE CERAMICA AKOO</t>
  </si>
  <si>
    <t xml:space="preserve">SUAPER NO.36 DURA CLEAN </t>
  </si>
  <si>
    <t>JABON LIQUIDO DE FREGAR AKOO</t>
  </si>
  <si>
    <t>FARDO DE SERVILLETAS DOMINO 500/10</t>
  </si>
  <si>
    <t>PANTALONES VERDE OLIVO SIZE 30</t>
  </si>
  <si>
    <t>PANTALON VERDE OLIVO GABARDINA   30</t>
  </si>
  <si>
    <t>CONOS DE 28 PULGADAS COLOR NARANJA BASE DE GOMA</t>
  </si>
  <si>
    <t>215/75R17.5 BRIDGESTONE R294 126M (JP)</t>
  </si>
  <si>
    <t>245/70R19.5 129M SUMITOMO ST718</t>
  </si>
  <si>
    <t>7.50R16 14PR 123L BRIDGESTONE R220 CARRETERA (JP) SET</t>
  </si>
  <si>
    <t>7.00R16 12PR 116/114L BRIDGESTONE R230 (JP) SET</t>
  </si>
  <si>
    <t>BATERIA 12V 7 MP HOUYA JP</t>
  </si>
  <si>
    <t>BATERIA 13/12 POLO CONVENCIONAL MOTOCERFT BTX24A AMER</t>
  </si>
  <si>
    <t>BATERIA 9/12 MOTOCRAFT BXL65 AMER PARA TRATOR</t>
  </si>
  <si>
    <t>18/042024</t>
  </si>
  <si>
    <t>CAMISAS MANGA CORTA MIL RAYAS S</t>
  </si>
  <si>
    <t>CAMISAS MANGA LARGA MIL RAYAS S</t>
  </si>
  <si>
    <t>CAMISAS MANGA LARGA MIL RAYAS  S</t>
  </si>
  <si>
    <t>PARES DE MEDIAS COLOR NEGRO, GRUESAS</t>
  </si>
  <si>
    <t>PARES DE MEDIAS COLOR NEGRO, FINAS</t>
  </si>
  <si>
    <t>GORRAS NEGRAS CON LOGO BORDADO DE LA POLICIA AUXILIAR</t>
  </si>
  <si>
    <t xml:space="preserve">POLOCHE CON CUELLO COLOR NATRANJA CON EL LOGO DIGESETT BORDADO </t>
  </si>
  <si>
    <t>BRILLO VERDE</t>
  </si>
  <si>
    <t>*</t>
  </si>
  <si>
    <t>FALDO DE FUNDA DE 100</t>
  </si>
  <si>
    <t>FALDO PAPEL TOALLA JUMBO PARA DISPENSADOR  6/1</t>
  </si>
  <si>
    <t>CORREAS COLOR NEGRO CON HEBILLAS DORADAS</t>
  </si>
  <si>
    <t>05132</t>
  </si>
  <si>
    <t>05133</t>
  </si>
  <si>
    <t xml:space="preserve">BATERIA TRONIC 6V 225 AMP </t>
  </si>
  <si>
    <t>05158</t>
  </si>
  <si>
    <t>BANDA DE FRENO DELANTGERA SHINERAY ORIGINAL</t>
  </si>
  <si>
    <t>BUJIAS MOTOCICLETAS X1000 250 CC ORIGINAL</t>
  </si>
  <si>
    <t>PRECIO 
UNITARIO</t>
  </si>
  <si>
    <t>05134</t>
  </si>
  <si>
    <t>05135</t>
  </si>
  <si>
    <t>05136</t>
  </si>
  <si>
    <t>05137</t>
  </si>
  <si>
    <t>05142</t>
  </si>
  <si>
    <t>05141</t>
  </si>
  <si>
    <t>05140</t>
  </si>
  <si>
    <t xml:space="preserve">DESCRIPCION DESCRIPCION </t>
  </si>
  <si>
    <t>CORDONES VERDES  N/A</t>
  </si>
  <si>
    <t>BUFANDA COLOR VERDE Y NARANJA  N/A</t>
  </si>
  <si>
    <t>05159</t>
  </si>
  <si>
    <t>05160</t>
  </si>
  <si>
    <t xml:space="preserve">DETERGENTE EN POLVO SR. COMPADRE 30LB </t>
  </si>
  <si>
    <t>05161</t>
  </si>
  <si>
    <t xml:space="preserve">CHALECOS MULTIUSOS </t>
  </si>
  <si>
    <t>TIJERA DE ACERO INOXIDABLE, DE 7 PULGADAS</t>
  </si>
  <si>
    <t>CINTA DE EMPAQUE TRANSPARENTE, PAQUETE DE 6/1, MARCA FALCON.</t>
  </si>
  <si>
    <t>MARCADORES PERMANENTES DE DIFERENTES COLORES, MARCA NUSTAR.</t>
  </si>
  <si>
    <t>RESALTADORES DE DIFERENTES COLORES.</t>
  </si>
  <si>
    <t>CORECTOR LIQUIDO BOTELLA, MARCA POINTER.</t>
  </si>
  <si>
    <t>SACA GRAPA NEGRO, MARCA FALCON.</t>
  </si>
  <si>
    <t>CAJAS DE BANDAS ELASTICAS NO. 18, COLORES VARIADOS, MARCA VELMER.</t>
  </si>
  <si>
    <t>TABLA DE CHEQUEO TAMAÑO 8 1/2 X 11, MARCA FALCON.</t>
  </si>
  <si>
    <t>LAPIZ NO.2, CAJITA DE 12/1, MARCA POINTER.</t>
  </si>
  <si>
    <t>PORTA CLIP CON BORDE DE IMAN EN LA TAPA.</t>
  </si>
  <si>
    <t>PORTA LAPIZ, TIPO VASO.</t>
  </si>
  <si>
    <t>CINTA ADHESIVA DE 3/4 PARA DISPENSADOR DE ESCRITORIO, MARCA HIGHLAND.</t>
  </si>
  <si>
    <t>ARCHIVO ACORDEON PLASTICOS PARA HOJAS DE 8 1/2 X 11.</t>
  </si>
  <si>
    <t>ARCHIVO ACORDEON PLASTICOS PARA HOJAS DE 8 1/2 X 14.</t>
  </si>
  <si>
    <t>CAJAS DE SOBRES MANILA NO.7, DE 100/1.</t>
  </si>
  <si>
    <t>CAJAS DE FOLDERS MANILA 9 X 12 /8.5 X 11, DE 100/1.</t>
  </si>
  <si>
    <t>CAJAS DE FOLDERS MANILA 10 X 13 /8.5 X 13, DE 100/1.</t>
  </si>
  <si>
    <t>GANCHO MACHO METALICO, DE 50/1, MARCA FALCON.</t>
  </si>
  <si>
    <t>CAJAS DE BOLIGRAFOS AZUL, DE 12/1, MARCA BIC.</t>
  </si>
  <si>
    <t>CLIP NO.1, DE 100/1, MARCA NUSTAR.</t>
  </si>
  <si>
    <t>CLIP BILLETERO DE 51MM NO.2, DE 12/1.</t>
  </si>
  <si>
    <t>GRAPAS DE METAL, ESTANDAR, MARCA NUSTAR.</t>
  </si>
  <si>
    <t>BORRA COLOR BLANCO, DE 20/1, MARCA POINTER.</t>
  </si>
  <si>
    <t>LIBRO RECORD DE 500 PAGINAS, MARCA OFI-NOTA.</t>
  </si>
  <si>
    <t>LIBRO RECORD DE 300 PAGINAS, MARCA OFI-NOTA.</t>
  </si>
  <si>
    <t>GRAPADORA MEDIANA DE COLOR NEGRO, MARCA SWINGLINE.</t>
  </si>
  <si>
    <t>LABEL ADHESIVO PARA FOLDER.</t>
  </si>
  <si>
    <t>REGLA PLASTICA 12 PULGADA.</t>
  </si>
  <si>
    <t>POST-IT AMARILLO TAMAÑO 2X3, DE 12/1, MARCA FALCON.</t>
  </si>
  <si>
    <t>POST-IT AMARILLO TAMAÑO 3X3, DE 12/1, MARCA OFFICE ESSENTIALS.</t>
  </si>
  <si>
    <t>POST-IT AMARILLO TAMAÑO 3X5, DE 12/1, MARCA OFFICE ESSENTIALS.</t>
  </si>
  <si>
    <t>LIBRETAS RAYADAS AMARILLAS, DE 15X21 CM EN ADELANTE, DE 12/1.</t>
  </si>
  <si>
    <t>CAJAS DE SOBRES MANILA 9X12, DE 500/1.</t>
  </si>
  <si>
    <t>CAJAS DE SOBRES MANILA 10X13, DE 500/1.</t>
  </si>
  <si>
    <t>05163</t>
  </si>
  <si>
    <t>TOTAL</t>
  </si>
  <si>
    <t>CLIP BILLETERO 25MM</t>
  </si>
  <si>
    <t xml:space="preserve">DESCRIPCION  DEL PRODUCTO </t>
  </si>
  <si>
    <t>BATERIA 13/12 POLO INVERSO MOTOCRAFT BTX24FB AMER.</t>
  </si>
  <si>
    <t>AL 12 DE JULIO   2024</t>
  </si>
  <si>
    <t>(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</si>
  <si>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</si>
  <si>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</si>
  <si>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</si>
  <si>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</si>
  <si>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</si>
  <si>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</si>
  <si>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</si>
  <si>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</si>
  <si>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</si>
  <si>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02059</t>
  </si>
  <si>
    <t>02062</t>
  </si>
  <si>
    <t>02063</t>
  </si>
  <si>
    <t>02065</t>
  </si>
  <si>
    <t xml:space="preserve">PORTA  CLIP </t>
  </si>
  <si>
    <t>PORTA  LAPIZ</t>
  </si>
  <si>
    <t xml:space="preserve">PORTA    CLIP </t>
  </si>
  <si>
    <t>SOBRES TIMBRADO NO . 10</t>
  </si>
  <si>
    <t xml:space="preserve">TONER HP  CF217A </t>
  </si>
  <si>
    <t xml:space="preserve">TONER HP  CF283A </t>
  </si>
  <si>
    <t xml:space="preserve">TINTA EPSON T664  BLACK </t>
  </si>
  <si>
    <t xml:space="preserve">PAPEL TIMBRADO   8 1/2 X 11 </t>
  </si>
  <si>
    <t>PAPEL  TIMBRADO 8 1/2 X 14</t>
  </si>
  <si>
    <t>TINTA 52  YELLOW</t>
  </si>
  <si>
    <t>TINTA  52 MAGENTA</t>
  </si>
  <si>
    <t>TINTA 51  CYAN</t>
  </si>
  <si>
    <t>TINTA   52 YELLOW</t>
  </si>
  <si>
    <t>TINTA 52   MAGENTA</t>
  </si>
  <si>
    <t>TINTA 51  BLACK</t>
  </si>
  <si>
    <t>TINTA  EPSON T664  YELLOW</t>
  </si>
  <si>
    <t>TINTA   EPSON T664 CYAN</t>
  </si>
  <si>
    <t>TINTA EPSON T664    MAGENTA</t>
  </si>
  <si>
    <t>TINTA 51   BLACK</t>
  </si>
  <si>
    <t>TINTA 51   CYAN</t>
  </si>
  <si>
    <t>ARCHIVO  ACORDEON 8 1/2 X 14</t>
  </si>
  <si>
    <t>BOLIGRAFOS  EN GEL</t>
  </si>
  <si>
    <t>CHINCHETAS .</t>
  </si>
  <si>
    <t>CLIP NO.1.</t>
  </si>
  <si>
    <t>CLIP  NO.1</t>
  </si>
  <si>
    <t>CLIP BILLETERO  NO.1</t>
  </si>
  <si>
    <t>CLIP BILLETERO   NO.2</t>
  </si>
  <si>
    <t>FOLDERS MANILA  8 1/2 X 11   1/100</t>
  </si>
  <si>
    <t>FOLDERS MANILA 8 1/2 X 14    1/100</t>
  </si>
  <si>
    <t xml:space="preserve">DISPENSADOR  DE CINTAS </t>
  </si>
  <si>
    <t>CLIP  BILLETERO NO.2</t>
  </si>
  <si>
    <t>AL 12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</si>
</sst>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3" fillId="2" borderId="2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43" fontId="5" fillId="2" borderId="2" xfId="1" applyFont="1" applyFill="1" applyBorder="1"/>
    <xf numFmtId="43" fontId="5" fillId="2" borderId="6" xfId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43" fontId="5" fillId="2" borderId="2" xfId="1" applyFont="1" applyFill="1" applyBorder="1" applyAlignment="1">
      <alignment horizontal="center" vertical="center"/>
    </xf>
    <xf numFmtId="0" fontId="6" fillId="2" borderId="0" xfId="0" applyFont="1" applyFill="1" applyBorder="1"/>
    <xf numFmtId="164" fontId="6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3" fontId="3" fillId="2" borderId="2" xfId="1" applyFont="1" applyFill="1" applyBorder="1"/>
    <xf numFmtId="0" fontId="4" fillId="2" borderId="3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Border="1"/>
    <xf numFmtId="164" fontId="6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5" fillId="2" borderId="2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Border="1"/>
    <xf numFmtId="43" fontId="5" fillId="2" borderId="3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 vertical="center"/>
    </xf>
    <xf numFmtId="0" fontId="5" fillId="2" borderId="6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164" fontId="5" fillId="2" borderId="3" xfId="1" applyNumberFormat="1" applyFont="1" applyFill="1" applyBorder="1" applyAlignment="1">
      <alignment horizontal="right" vertical="center"/>
    </xf>
    <xf numFmtId="164" fontId="5" fillId="2" borderId="2" xfId="1" applyNumberFormat="1" applyFont="1" applyFill="1" applyBorder="1" applyAlignment="1">
      <alignment horizontal="right" vertical="center"/>
    </xf>
    <xf numFmtId="165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 applyAlignment="1">
      <alignment wrapText="1"/>
    </xf>
    <xf numFmtId="14" fontId="0" fillId="2" borderId="2" xfId="0" applyNumberFormat="1" applyFill="1" applyBorder="1" applyAlignment="1">
      <alignment vertical="center"/>
    </xf>
    <xf numFmtId="0" fontId="15" fillId="2" borderId="2" xfId="0" applyFont="1" applyFill="1" applyBorder="1" applyAlignment="1">
      <alignment horizontal="justify" vertical="center"/>
    </xf>
    <xf numFmtId="43" fontId="5" fillId="2" borderId="3" xfId="1" applyFont="1" applyFill="1" applyBorder="1"/>
    <xf numFmtId="0" fontId="4" fillId="2" borderId="2" xfId="0" applyFont="1" applyFill="1" applyBorder="1"/>
    <xf numFmtId="49" fontId="4" fillId="2" borderId="7" xfId="0" applyNumberFormat="1" applyFont="1" applyFill="1" applyBorder="1" applyAlignment="1">
      <alignment horizontal="center"/>
    </xf>
    <xf numFmtId="0" fontId="0" fillId="4" borderId="0" xfId="0" applyFill="1"/>
    <xf numFmtId="14" fontId="0" fillId="2" borderId="2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164" fontId="6" fillId="4" borderId="2" xfId="0" applyNumberFormat="1" applyFont="1" applyFill="1" applyBorder="1"/>
    <xf numFmtId="164" fontId="17" fillId="4" borderId="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/>
    <xf numFmtId="164" fontId="7" fillId="4" borderId="2" xfId="0" applyNumberFormat="1" applyFont="1" applyFill="1" applyBorder="1"/>
    <xf numFmtId="0" fontId="6" fillId="4" borderId="5" xfId="0" applyFont="1" applyFill="1" applyBorder="1"/>
    <xf numFmtId="164" fontId="6" fillId="4" borderId="5" xfId="0" applyNumberFormat="1" applyFont="1" applyFill="1" applyBorder="1" applyAlignment="1"/>
    <xf numFmtId="0" fontId="13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0" fillId="5" borderId="0" xfId="0" applyFill="1"/>
    <xf numFmtId="43" fontId="3" fillId="2" borderId="2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4" fontId="6" fillId="4" borderId="2" xfId="0" applyNumberFormat="1" applyFont="1" applyFill="1" applyBorder="1" applyAlignment="1"/>
    <xf numFmtId="0" fontId="9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7" fontId="19" fillId="2" borderId="1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2319634</xdr:colOff>
      <xdr:row>1</xdr:row>
      <xdr:rowOff>18080</xdr:rowOff>
    </xdr:from>
    <xdr:ext cx="1294342" cy="1147302"/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7517" y="212468"/>
          <a:ext cx="1294342" cy="114730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877130</xdr:colOff>
      <xdr:row>1</xdr:row>
      <xdr:rowOff>14496</xdr:rowOff>
    </xdr:from>
    <xdr:to>
      <xdr:col>4</xdr:col>
      <xdr:colOff>2191579</xdr:colOff>
      <xdr:row>6</xdr:row>
      <xdr:rowOff>170072</xdr:rowOff>
    </xdr:to>
    <xdr:pic>
      <xdr:nvPicPr>
        <xdr:cNvPr id="5" name="Imagen 4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217" y="204996"/>
          <a:ext cx="1314449" cy="110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1266825</xdr:colOff>
      <xdr:row>0</xdr:row>
      <xdr:rowOff>161926</xdr:rowOff>
    </xdr:from>
    <xdr:to>
      <xdr:col>4</xdr:col>
      <xdr:colOff>2611967</xdr:colOff>
      <xdr:row>6</xdr:row>
      <xdr:rowOff>180976</xdr:rowOff>
    </xdr:to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61926"/>
          <a:ext cx="1345142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5</xdr:row>
      <xdr:rowOff>76200</xdr:rowOff>
    </xdr:from>
    <xdr:to>
      <xdr:col>4</xdr:col>
      <xdr:colOff>1190625</xdr:colOff>
      <xdr:row>10</xdr:row>
      <xdr:rowOff>152400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028700"/>
          <a:ext cx="124777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2343150</xdr:colOff>
      <xdr:row>1</xdr:row>
      <xdr:rowOff>67177</xdr:rowOff>
    </xdr:from>
    <xdr:to>
      <xdr:col>4</xdr:col>
      <xdr:colOff>3467100</xdr:colOff>
      <xdr:row>6</xdr:row>
      <xdr:rowOff>165603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57677"/>
          <a:ext cx="1123950" cy="1050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76"/>
  <sheetViews>
    <sheetView view="pageBreakPreview" topLeftCell="A163" zoomScale="98" zoomScaleNormal="115" zoomScaleSheetLayoutView="98" workbookViewId="0">
      <selection activeCell="E170" sqref="E170"/>
    </sheetView>
  </sheetViews>
  <sheetFormatPr baseColWidth="10" defaultRowHeight="15" x14ac:dyDescent="0.25"/>
  <cols>
    <col min="1" max="1" width="4.5703125" style="23" bestFit="1" customWidth="1"/>
    <col min="2" max="2" width="12.7109375" style="23" bestFit="1" customWidth="1"/>
    <col min="3" max="3" width="10.85546875" style="23" bestFit="1" customWidth="1"/>
    <col min="4" max="4" width="9.42578125" style="23" bestFit="1" customWidth="1"/>
    <col min="5" max="5" width="65" style="23" bestFit="1" customWidth="1"/>
    <col min="6" max="7" width="11.42578125" style="23"/>
    <col min="8" max="8" width="14" style="23" bestFit="1" customWidth="1"/>
    <col min="9" max="9" width="17.85546875" style="23" customWidth="1"/>
    <col min="10" max="16384" width="11.42578125" style="23"/>
  </cols>
  <sheetData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83" t="s">
        <v>56</v>
      </c>
      <c r="B7" s="83"/>
      <c r="C7" s="83"/>
      <c r="D7" s="83"/>
      <c r="E7" s="83"/>
      <c r="F7" s="83"/>
      <c r="G7" s="83"/>
      <c r="H7" s="83"/>
      <c r="I7" s="83"/>
    </row>
    <row r="8" spans="1:9" ht="18.75" x14ac:dyDescent="0.3">
      <c r="A8" s="84" t="s">
        <v>1</v>
      </c>
      <c r="B8" s="84"/>
      <c r="C8" s="84"/>
      <c r="D8" s="84"/>
      <c r="E8" s="84"/>
      <c r="F8" s="84"/>
      <c r="G8" s="84"/>
      <c r="H8" s="84"/>
      <c r="I8" s="84"/>
    </row>
    <row r="9" spans="1:9" ht="15.75" x14ac:dyDescent="0.25">
      <c r="A9" s="85" t="s">
        <v>57</v>
      </c>
      <c r="B9" s="85"/>
      <c r="C9" s="85"/>
      <c r="D9" s="85"/>
      <c r="E9" s="85"/>
      <c r="F9" s="85"/>
      <c r="G9" s="85"/>
      <c r="H9" s="85"/>
      <c r="I9" s="85"/>
    </row>
    <row r="10" spans="1:9" ht="15.75" x14ac:dyDescent="0.25">
      <c r="A10" s="86" t="s">
        <v>623</v>
      </c>
      <c r="B10" s="86"/>
      <c r="C10" s="86"/>
      <c r="D10" s="86"/>
      <c r="E10" s="86"/>
      <c r="F10" s="86"/>
      <c r="G10" s="86"/>
      <c r="H10" s="86"/>
      <c r="I10" s="86"/>
    </row>
    <row r="11" spans="1:9" ht="38.25" x14ac:dyDescent="0.25">
      <c r="A11" s="39" t="s">
        <v>58</v>
      </c>
      <c r="B11" s="40" t="s">
        <v>461</v>
      </c>
      <c r="C11" s="40" t="s">
        <v>462</v>
      </c>
      <c r="D11" s="41" t="s">
        <v>463</v>
      </c>
      <c r="E11" s="42" t="s">
        <v>575</v>
      </c>
      <c r="F11" s="87" t="s">
        <v>7</v>
      </c>
      <c r="G11" s="88"/>
      <c r="H11" s="43" t="s">
        <v>59</v>
      </c>
      <c r="I11" s="39" t="s">
        <v>9</v>
      </c>
    </row>
    <row r="12" spans="1:9" x14ac:dyDescent="0.25">
      <c r="A12" s="3">
        <v>1</v>
      </c>
      <c r="B12" s="4">
        <v>45230</v>
      </c>
      <c r="C12" s="4">
        <v>45230</v>
      </c>
      <c r="D12" s="7" t="s">
        <v>60</v>
      </c>
      <c r="E12" s="8" t="s">
        <v>61</v>
      </c>
      <c r="F12" s="3">
        <f>100-34-7-13</f>
        <v>46</v>
      </c>
      <c r="G12" s="3" t="s">
        <v>12</v>
      </c>
      <c r="H12" s="35">
        <v>642.4982</v>
      </c>
      <c r="I12" s="5">
        <f t="shared" ref="I12:I18" si="0">+F12*H12</f>
        <v>29554.9172</v>
      </c>
    </row>
    <row r="13" spans="1:9" x14ac:dyDescent="0.25">
      <c r="A13" s="3">
        <v>2</v>
      </c>
      <c r="B13" s="4">
        <v>44748</v>
      </c>
      <c r="C13" s="4">
        <v>44748</v>
      </c>
      <c r="D13" s="7" t="s">
        <v>60</v>
      </c>
      <c r="E13" s="8" t="s">
        <v>612</v>
      </c>
      <c r="F13" s="3">
        <f>125-12-4-3-12-5-6-23-1</f>
        <v>59</v>
      </c>
      <c r="G13" s="3" t="s">
        <v>12</v>
      </c>
      <c r="H13" s="35">
        <v>608.44344000000001</v>
      </c>
      <c r="I13" s="5">
        <f t="shared" si="0"/>
        <v>35898.162960000001</v>
      </c>
    </row>
    <row r="14" spans="1:9" x14ac:dyDescent="0.25">
      <c r="A14" s="3">
        <v>3</v>
      </c>
      <c r="B14" s="4">
        <v>45230</v>
      </c>
      <c r="C14" s="4">
        <v>45230</v>
      </c>
      <c r="D14" s="7" t="s">
        <v>60</v>
      </c>
      <c r="E14" s="8" t="s">
        <v>62</v>
      </c>
      <c r="F14" s="3">
        <v>100</v>
      </c>
      <c r="G14" s="3" t="s">
        <v>12</v>
      </c>
      <c r="H14" s="35">
        <v>820.69</v>
      </c>
      <c r="I14" s="5">
        <f t="shared" si="0"/>
        <v>82069</v>
      </c>
    </row>
    <row r="15" spans="1:9" x14ac:dyDescent="0.25">
      <c r="A15" s="3">
        <v>4</v>
      </c>
      <c r="B15" s="4">
        <v>44166</v>
      </c>
      <c r="C15" s="4">
        <v>44166</v>
      </c>
      <c r="D15" s="7" t="s">
        <v>63</v>
      </c>
      <c r="E15" s="8" t="s">
        <v>64</v>
      </c>
      <c r="F15" s="3">
        <v>50</v>
      </c>
      <c r="G15" s="3" t="s">
        <v>12</v>
      </c>
      <c r="H15" s="35">
        <v>115.64</v>
      </c>
      <c r="I15" s="5">
        <f t="shared" si="0"/>
        <v>5782</v>
      </c>
    </row>
    <row r="16" spans="1:9" x14ac:dyDescent="0.25">
      <c r="A16" s="3">
        <v>5</v>
      </c>
      <c r="B16" s="4">
        <v>45080</v>
      </c>
      <c r="C16" s="4">
        <v>45080</v>
      </c>
      <c r="D16" s="7" t="s">
        <v>65</v>
      </c>
      <c r="E16" s="8" t="s">
        <v>66</v>
      </c>
      <c r="F16" s="3">
        <v>100</v>
      </c>
      <c r="G16" s="3" t="s">
        <v>12</v>
      </c>
      <c r="H16" s="35">
        <v>450</v>
      </c>
      <c r="I16" s="5">
        <f t="shared" si="0"/>
        <v>45000</v>
      </c>
    </row>
    <row r="17" spans="1:9" x14ac:dyDescent="0.25">
      <c r="A17" s="3">
        <v>6</v>
      </c>
      <c r="B17" s="4">
        <v>45230</v>
      </c>
      <c r="C17" s="4">
        <v>45230</v>
      </c>
      <c r="D17" s="7" t="s">
        <v>67</v>
      </c>
      <c r="E17" s="8" t="s">
        <v>68</v>
      </c>
      <c r="F17" s="3">
        <f>350-38-17-24-67-29-37-53-39-29</f>
        <v>17</v>
      </c>
      <c r="G17" s="3" t="s">
        <v>12</v>
      </c>
      <c r="H17" s="35">
        <v>42.951999999999998</v>
      </c>
      <c r="I17" s="5">
        <f t="shared" si="0"/>
        <v>730.18399999999997</v>
      </c>
    </row>
    <row r="18" spans="1:9" x14ac:dyDescent="0.25">
      <c r="A18" s="3">
        <v>7</v>
      </c>
      <c r="B18" s="4">
        <v>44796</v>
      </c>
      <c r="C18" s="4">
        <v>44796</v>
      </c>
      <c r="D18" s="7" t="s">
        <v>69</v>
      </c>
      <c r="E18" s="8" t="s">
        <v>70</v>
      </c>
      <c r="F18" s="3">
        <f>398-60-40-10-10-47-10-45-20-10-30-30-2</f>
        <v>84</v>
      </c>
      <c r="G18" s="3" t="s">
        <v>12</v>
      </c>
      <c r="H18" s="35">
        <v>413</v>
      </c>
      <c r="I18" s="5">
        <f t="shared" si="0"/>
        <v>34692</v>
      </c>
    </row>
    <row r="19" spans="1:9" x14ac:dyDescent="0.25">
      <c r="A19" s="3">
        <v>8</v>
      </c>
      <c r="B19" s="4">
        <v>45080</v>
      </c>
      <c r="C19" s="4">
        <v>45080</v>
      </c>
      <c r="D19" s="7" t="s">
        <v>71</v>
      </c>
      <c r="E19" s="8" t="s">
        <v>613</v>
      </c>
      <c r="F19" s="3">
        <v>336</v>
      </c>
      <c r="G19" s="3" t="s">
        <v>12</v>
      </c>
      <c r="H19" s="35">
        <v>112.5</v>
      </c>
      <c r="I19" s="5">
        <f>F19*H19</f>
        <v>37800</v>
      </c>
    </row>
    <row r="20" spans="1:9" x14ac:dyDescent="0.25">
      <c r="A20" s="3">
        <v>9</v>
      </c>
      <c r="B20" s="4">
        <v>45230</v>
      </c>
      <c r="C20" s="4">
        <v>45230</v>
      </c>
      <c r="D20" s="7" t="s">
        <v>71</v>
      </c>
      <c r="E20" s="8" t="s">
        <v>72</v>
      </c>
      <c r="F20" s="3">
        <f>275-10-41-62-114-25</f>
        <v>23</v>
      </c>
      <c r="G20" s="3" t="s">
        <v>12</v>
      </c>
      <c r="H20" s="35">
        <v>240.602</v>
      </c>
      <c r="I20" s="5">
        <f>F20*H20</f>
        <v>5533.8460000000005</v>
      </c>
    </row>
    <row r="21" spans="1:9" x14ac:dyDescent="0.25">
      <c r="A21" s="3">
        <v>10</v>
      </c>
      <c r="B21" s="4">
        <v>45230</v>
      </c>
      <c r="C21" s="4">
        <v>45230</v>
      </c>
      <c r="D21" s="7" t="s">
        <v>73</v>
      </c>
      <c r="E21" s="8" t="s">
        <v>74</v>
      </c>
      <c r="F21" s="3">
        <f>4800-242-33-43-727-765-486-519-869-442</f>
        <v>674</v>
      </c>
      <c r="G21" s="3" t="s">
        <v>12</v>
      </c>
      <c r="H21" s="35">
        <v>11.829166000000001</v>
      </c>
      <c r="I21" s="5">
        <f>F21*H21</f>
        <v>7972.8578840000009</v>
      </c>
    </row>
    <row r="22" spans="1:9" x14ac:dyDescent="0.25">
      <c r="A22" s="3">
        <v>11</v>
      </c>
      <c r="B22" s="4">
        <v>45230</v>
      </c>
      <c r="C22" s="4">
        <v>45230</v>
      </c>
      <c r="D22" s="7" t="s">
        <v>75</v>
      </c>
      <c r="E22" s="8" t="s">
        <v>76</v>
      </c>
      <c r="F22" s="3">
        <f>1200-2-11-9-10-13-32-9</f>
        <v>1114</v>
      </c>
      <c r="G22" s="3" t="s">
        <v>12</v>
      </c>
      <c r="H22" s="35">
        <v>14.4998416666</v>
      </c>
      <c r="I22" s="5">
        <f>F22*H22</f>
        <v>16152.823616592401</v>
      </c>
    </row>
    <row r="23" spans="1:9" x14ac:dyDescent="0.25">
      <c r="A23" s="3">
        <v>12</v>
      </c>
      <c r="B23" s="4">
        <v>45133</v>
      </c>
      <c r="C23" s="4">
        <v>45133</v>
      </c>
      <c r="D23" s="7" t="s">
        <v>77</v>
      </c>
      <c r="E23" s="8" t="s">
        <v>78</v>
      </c>
      <c r="F23" s="3">
        <f>15-2-2-2-2</f>
        <v>7</v>
      </c>
      <c r="G23" s="3" t="s">
        <v>12</v>
      </c>
      <c r="H23" s="55">
        <v>11657.22</v>
      </c>
      <c r="I23" s="5">
        <f t="shared" ref="I23:I55" si="1">+F23*H23</f>
        <v>81600.539999999994</v>
      </c>
    </row>
    <row r="24" spans="1:9" x14ac:dyDescent="0.25">
      <c r="A24" s="3">
        <v>13</v>
      </c>
      <c r="B24" s="4">
        <v>45230</v>
      </c>
      <c r="C24" s="4">
        <v>45230</v>
      </c>
      <c r="D24" s="32" t="s">
        <v>79</v>
      </c>
      <c r="E24" s="8" t="s">
        <v>80</v>
      </c>
      <c r="F24" s="3">
        <f>200-6-17-16</f>
        <v>161</v>
      </c>
      <c r="G24" s="3" t="s">
        <v>12</v>
      </c>
      <c r="H24" s="35">
        <v>76.11</v>
      </c>
      <c r="I24" s="5">
        <f t="shared" si="1"/>
        <v>12253.71</v>
      </c>
    </row>
    <row r="25" spans="1:9" x14ac:dyDescent="0.25">
      <c r="A25" s="3">
        <v>14</v>
      </c>
      <c r="B25" s="4">
        <v>45230</v>
      </c>
      <c r="C25" s="4">
        <v>45230</v>
      </c>
      <c r="D25" s="32" t="s">
        <v>79</v>
      </c>
      <c r="E25" s="8" t="s">
        <v>81</v>
      </c>
      <c r="F25" s="3">
        <f>120-17-67-14</f>
        <v>22</v>
      </c>
      <c r="G25" s="3" t="s">
        <v>12</v>
      </c>
      <c r="H25" s="35">
        <v>120.95</v>
      </c>
      <c r="I25" s="5">
        <f t="shared" si="1"/>
        <v>2660.9</v>
      </c>
    </row>
    <row r="26" spans="1:9" x14ac:dyDescent="0.25">
      <c r="A26" s="3">
        <v>15</v>
      </c>
      <c r="B26" s="4">
        <v>44551</v>
      </c>
      <c r="C26" s="4">
        <v>44551</v>
      </c>
      <c r="D26" s="7" t="s">
        <v>82</v>
      </c>
      <c r="E26" s="8" t="s">
        <v>614</v>
      </c>
      <c r="F26" s="3">
        <f>100-8-4-15-2-2-6-5-5-17-8-15</f>
        <v>13</v>
      </c>
      <c r="G26" s="3" t="s">
        <v>84</v>
      </c>
      <c r="H26" s="9">
        <v>74.34</v>
      </c>
      <c r="I26" s="5">
        <f t="shared" si="1"/>
        <v>966.42000000000007</v>
      </c>
    </row>
    <row r="27" spans="1:9" x14ac:dyDescent="0.25">
      <c r="A27" s="3">
        <v>16</v>
      </c>
      <c r="B27" s="4">
        <v>44753</v>
      </c>
      <c r="C27" s="4">
        <v>44753</v>
      </c>
      <c r="D27" s="7" t="s">
        <v>82</v>
      </c>
      <c r="E27" s="8" t="s">
        <v>83</v>
      </c>
      <c r="F27" s="3">
        <v>50</v>
      </c>
      <c r="G27" s="3" t="s">
        <v>84</v>
      </c>
      <c r="H27" s="9">
        <v>44.073</v>
      </c>
      <c r="I27" s="5">
        <f t="shared" si="1"/>
        <v>2203.65</v>
      </c>
    </row>
    <row r="28" spans="1:9" x14ac:dyDescent="0.25">
      <c r="A28" s="3">
        <v>17</v>
      </c>
      <c r="B28" s="4">
        <v>44166</v>
      </c>
      <c r="C28" s="4">
        <v>44166</v>
      </c>
      <c r="D28" s="7" t="s">
        <v>85</v>
      </c>
      <c r="E28" s="8" t="s">
        <v>615</v>
      </c>
      <c r="F28" s="3">
        <f>184-15-25-7-12-15</f>
        <v>110</v>
      </c>
      <c r="G28" s="3" t="s">
        <v>84</v>
      </c>
      <c r="H28" s="9">
        <v>130.08320000000001</v>
      </c>
      <c r="I28" s="5">
        <f t="shared" si="1"/>
        <v>14309.152</v>
      </c>
    </row>
    <row r="29" spans="1:9" x14ac:dyDescent="0.25">
      <c r="A29" s="3">
        <v>18</v>
      </c>
      <c r="B29" s="4">
        <v>44748</v>
      </c>
      <c r="C29" s="4">
        <v>44748</v>
      </c>
      <c r="D29" s="7" t="s">
        <v>85</v>
      </c>
      <c r="E29" s="8" t="s">
        <v>86</v>
      </c>
      <c r="F29" s="3">
        <f>225-3</f>
        <v>222</v>
      </c>
      <c r="G29" s="3" t="s">
        <v>84</v>
      </c>
      <c r="H29" s="35">
        <v>14.75</v>
      </c>
      <c r="I29" s="5">
        <f t="shared" si="1"/>
        <v>3274.5</v>
      </c>
    </row>
    <row r="30" spans="1:9" x14ac:dyDescent="0.25">
      <c r="A30" s="3">
        <v>19</v>
      </c>
      <c r="B30" s="4">
        <v>45230</v>
      </c>
      <c r="C30" s="4">
        <v>45230</v>
      </c>
      <c r="D30" s="7" t="s">
        <v>85</v>
      </c>
      <c r="E30" s="8" t="s">
        <v>616</v>
      </c>
      <c r="F30" s="3">
        <f>225-1</f>
        <v>224</v>
      </c>
      <c r="G30" s="3" t="s">
        <v>84</v>
      </c>
      <c r="H30" s="35">
        <v>20.532</v>
      </c>
      <c r="I30" s="5">
        <f t="shared" si="1"/>
        <v>4599.1679999999997</v>
      </c>
    </row>
    <row r="31" spans="1:9" x14ac:dyDescent="0.25">
      <c r="A31" s="3">
        <v>67</v>
      </c>
      <c r="B31" s="4">
        <v>45457</v>
      </c>
      <c r="C31" s="4">
        <v>45457</v>
      </c>
      <c r="D31" s="7" t="s">
        <v>85</v>
      </c>
      <c r="E31" s="8" t="s">
        <v>557</v>
      </c>
      <c r="F31" s="3">
        <v>225</v>
      </c>
      <c r="G31" s="3" t="s">
        <v>12</v>
      </c>
      <c r="H31" s="9">
        <v>16.52</v>
      </c>
      <c r="I31" s="5">
        <f>+F31*H31</f>
        <v>3717</v>
      </c>
    </row>
    <row r="32" spans="1:9" x14ac:dyDescent="0.25">
      <c r="A32" s="3">
        <v>68</v>
      </c>
      <c r="B32" s="4">
        <v>45457</v>
      </c>
      <c r="C32" s="4">
        <v>45457</v>
      </c>
      <c r="D32" s="7" t="s">
        <v>85</v>
      </c>
      <c r="E32" s="8" t="s">
        <v>558</v>
      </c>
      <c r="F32" s="3">
        <v>250</v>
      </c>
      <c r="G32" s="3" t="s">
        <v>12</v>
      </c>
      <c r="H32" s="9">
        <v>188.8</v>
      </c>
      <c r="I32" s="5">
        <f>+F32*H32</f>
        <v>47200</v>
      </c>
    </row>
    <row r="33" spans="1:9" x14ac:dyDescent="0.25">
      <c r="A33" s="3">
        <v>20</v>
      </c>
      <c r="B33" s="4">
        <v>43826</v>
      </c>
      <c r="C33" s="4">
        <v>43826</v>
      </c>
      <c r="D33" s="7" t="s">
        <v>87</v>
      </c>
      <c r="E33" s="8" t="s">
        <v>88</v>
      </c>
      <c r="F33" s="3">
        <f>1179-36-1-25-18-30-73-6-11-17-30-44-25-33</f>
        <v>830</v>
      </c>
      <c r="G33" s="3" t="s">
        <v>84</v>
      </c>
      <c r="H33" s="35">
        <v>11.21</v>
      </c>
      <c r="I33" s="5">
        <f t="shared" si="1"/>
        <v>9304.3000000000011</v>
      </c>
    </row>
    <row r="34" spans="1:9" x14ac:dyDescent="0.25">
      <c r="A34" s="3">
        <v>21</v>
      </c>
      <c r="B34" s="4">
        <v>43826</v>
      </c>
      <c r="C34" s="4">
        <v>43826</v>
      </c>
      <c r="D34" s="7" t="s">
        <v>89</v>
      </c>
      <c r="E34" s="8" t="s">
        <v>90</v>
      </c>
      <c r="F34" s="3">
        <f>386-18-5-18-23-46-26-4-8-5-1-35-29-12</f>
        <v>156</v>
      </c>
      <c r="G34" s="3" t="s">
        <v>84</v>
      </c>
      <c r="H34" s="35">
        <v>31.329000000000001</v>
      </c>
      <c r="I34" s="5">
        <f t="shared" si="1"/>
        <v>4887.3240000000005</v>
      </c>
    </row>
    <row r="35" spans="1:9" x14ac:dyDescent="0.25">
      <c r="A35" s="3">
        <v>22</v>
      </c>
      <c r="B35" s="4">
        <v>45446</v>
      </c>
      <c r="C35" s="4">
        <v>45446</v>
      </c>
      <c r="D35" s="7" t="s">
        <v>91</v>
      </c>
      <c r="E35" s="8" t="s">
        <v>574</v>
      </c>
      <c r="F35" s="3">
        <v>250</v>
      </c>
      <c r="G35" s="3" t="s">
        <v>84</v>
      </c>
      <c r="H35" s="35">
        <v>55</v>
      </c>
      <c r="I35" s="5">
        <f t="shared" ref="I35" si="2">+F35*H35</f>
        <v>13750</v>
      </c>
    </row>
    <row r="36" spans="1:9" x14ac:dyDescent="0.25">
      <c r="A36" s="3">
        <v>23</v>
      </c>
      <c r="B36" s="4">
        <v>44748</v>
      </c>
      <c r="C36" s="4">
        <v>44748</v>
      </c>
      <c r="D36" s="7" t="s">
        <v>91</v>
      </c>
      <c r="E36" s="8" t="s">
        <v>617</v>
      </c>
      <c r="F36" s="3">
        <f>156-2-4-14-6-16-5-43-24-12-29</f>
        <v>1</v>
      </c>
      <c r="G36" s="3" t="s">
        <v>84</v>
      </c>
      <c r="H36" s="35">
        <v>34.101999999999997</v>
      </c>
      <c r="I36" s="5">
        <f t="shared" si="1"/>
        <v>34.101999999999997</v>
      </c>
    </row>
    <row r="37" spans="1:9" x14ac:dyDescent="0.25">
      <c r="A37" s="3">
        <v>24</v>
      </c>
      <c r="B37" s="4">
        <v>45230</v>
      </c>
      <c r="C37" s="4">
        <v>45230</v>
      </c>
      <c r="D37" s="7" t="s">
        <v>91</v>
      </c>
      <c r="E37" s="8" t="s">
        <v>92</v>
      </c>
      <c r="F37" s="3">
        <f>250-6</f>
        <v>244</v>
      </c>
      <c r="G37" s="3" t="s">
        <v>84</v>
      </c>
      <c r="H37" s="35">
        <v>101.952</v>
      </c>
      <c r="I37" s="5">
        <f t="shared" si="1"/>
        <v>24876.288</v>
      </c>
    </row>
    <row r="38" spans="1:9" x14ac:dyDescent="0.25">
      <c r="A38" s="3">
        <v>25</v>
      </c>
      <c r="B38" s="4">
        <v>43826</v>
      </c>
      <c r="C38" s="4">
        <v>43826</v>
      </c>
      <c r="D38" s="7" t="s">
        <v>93</v>
      </c>
      <c r="E38" s="8" t="s">
        <v>94</v>
      </c>
      <c r="F38" s="3">
        <f>196-1-8-12-2-6-4-1-42-31-10-13-8</f>
        <v>58</v>
      </c>
      <c r="G38" s="3" t="s">
        <v>84</v>
      </c>
      <c r="H38" s="35">
        <v>277.3</v>
      </c>
      <c r="I38" s="5">
        <f t="shared" si="1"/>
        <v>16083.400000000001</v>
      </c>
    </row>
    <row r="39" spans="1:9" x14ac:dyDescent="0.25">
      <c r="A39" s="3">
        <v>26</v>
      </c>
      <c r="B39" s="4">
        <v>44166</v>
      </c>
      <c r="C39" s="4">
        <v>44166</v>
      </c>
      <c r="D39" s="7" t="s">
        <v>95</v>
      </c>
      <c r="E39" s="8" t="s">
        <v>96</v>
      </c>
      <c r="F39" s="3">
        <f>250-1-2-9-3-5-8-2-2-9-2-5-10-10-5-25-10-9-4-6-1-23-3-5</f>
        <v>91</v>
      </c>
      <c r="G39" s="3" t="s">
        <v>84</v>
      </c>
      <c r="H39" s="35">
        <v>141.6</v>
      </c>
      <c r="I39" s="5">
        <f t="shared" si="1"/>
        <v>12885.6</v>
      </c>
    </row>
    <row r="40" spans="1:9" x14ac:dyDescent="0.25">
      <c r="A40" s="3">
        <v>27</v>
      </c>
      <c r="B40" s="4">
        <v>44748</v>
      </c>
      <c r="C40" s="4">
        <v>44748</v>
      </c>
      <c r="D40" s="7" t="s">
        <v>95</v>
      </c>
      <c r="E40" s="8" t="s">
        <v>618</v>
      </c>
      <c r="F40" s="3">
        <f>250-3</f>
        <v>247</v>
      </c>
      <c r="G40" s="3" t="s">
        <v>84</v>
      </c>
      <c r="H40" s="35">
        <v>160.36199999999999</v>
      </c>
      <c r="I40" s="5">
        <f t="shared" si="1"/>
        <v>39609.413999999997</v>
      </c>
    </row>
    <row r="41" spans="1:9" x14ac:dyDescent="0.25">
      <c r="A41" s="3">
        <v>28</v>
      </c>
      <c r="B41" s="4">
        <v>45230</v>
      </c>
      <c r="C41" s="4">
        <v>45230</v>
      </c>
      <c r="D41" s="7" t="s">
        <v>95</v>
      </c>
      <c r="E41" s="8" t="s">
        <v>622</v>
      </c>
      <c r="F41" s="3">
        <v>250</v>
      </c>
      <c r="G41" s="3" t="s">
        <v>84</v>
      </c>
      <c r="H41" s="35">
        <v>168.50399999999999</v>
      </c>
      <c r="I41" s="5">
        <f t="shared" si="1"/>
        <v>42126</v>
      </c>
    </row>
    <row r="42" spans="1:9" x14ac:dyDescent="0.25">
      <c r="A42" s="3">
        <v>29</v>
      </c>
      <c r="B42" s="4">
        <v>43685</v>
      </c>
      <c r="C42" s="4">
        <v>43685</v>
      </c>
      <c r="D42" s="7" t="s">
        <v>97</v>
      </c>
      <c r="E42" s="8" t="s">
        <v>621</v>
      </c>
      <c r="F42" s="3">
        <f>117-4-2-1-3-1-6-1-2-1-1-1-1-5-1-1-1-3-2-6-2-1-2-6-3-46</f>
        <v>14</v>
      </c>
      <c r="G42" s="3" t="s">
        <v>12</v>
      </c>
      <c r="H42" s="35">
        <v>259.60000000000002</v>
      </c>
      <c r="I42" s="5">
        <f t="shared" si="1"/>
        <v>3634.4000000000005</v>
      </c>
    </row>
    <row r="43" spans="1:9" x14ac:dyDescent="0.25">
      <c r="A43" s="3">
        <v>30</v>
      </c>
      <c r="B43" s="4">
        <v>44748</v>
      </c>
      <c r="C43" s="4">
        <v>44748</v>
      </c>
      <c r="D43" s="7" t="s">
        <v>97</v>
      </c>
      <c r="E43" s="8" t="s">
        <v>98</v>
      </c>
      <c r="F43" s="3">
        <v>100</v>
      </c>
      <c r="G43" s="3" t="s">
        <v>12</v>
      </c>
      <c r="H43" s="35">
        <v>130.38999999999999</v>
      </c>
      <c r="I43" s="5">
        <f t="shared" si="1"/>
        <v>13038.999999999998</v>
      </c>
    </row>
    <row r="44" spans="1:9" x14ac:dyDescent="0.25">
      <c r="A44" s="3">
        <v>31</v>
      </c>
      <c r="B44" s="4">
        <v>44897</v>
      </c>
      <c r="C44" s="4">
        <v>44897</v>
      </c>
      <c r="D44" s="7" t="s">
        <v>99</v>
      </c>
      <c r="E44" s="8" t="s">
        <v>619</v>
      </c>
      <c r="F44" s="3">
        <f>675-13-42-20-30-21-21-14-2-14-18-20-20-8-37-23-28-57</f>
        <v>287</v>
      </c>
      <c r="G44" s="3" t="s">
        <v>84</v>
      </c>
      <c r="H44" s="9">
        <v>490.29</v>
      </c>
      <c r="I44" s="5">
        <f t="shared" si="1"/>
        <v>140713.23000000001</v>
      </c>
    </row>
    <row r="45" spans="1:9" x14ac:dyDescent="0.25">
      <c r="A45" s="3">
        <v>32</v>
      </c>
      <c r="B45" s="4">
        <v>45230</v>
      </c>
      <c r="C45" s="4">
        <v>45230</v>
      </c>
      <c r="D45" s="7" t="s">
        <v>99</v>
      </c>
      <c r="E45" s="8" t="s">
        <v>100</v>
      </c>
      <c r="F45" s="3">
        <v>100</v>
      </c>
      <c r="G45" s="3" t="s">
        <v>84</v>
      </c>
      <c r="H45" s="9">
        <v>470.23</v>
      </c>
      <c r="I45" s="5">
        <f t="shared" si="1"/>
        <v>47023</v>
      </c>
    </row>
    <row r="46" spans="1:9" x14ac:dyDescent="0.25">
      <c r="A46" s="3">
        <v>33</v>
      </c>
      <c r="B46" s="4">
        <v>44897</v>
      </c>
      <c r="C46" s="4">
        <v>44897</v>
      </c>
      <c r="D46" s="7" t="s">
        <v>101</v>
      </c>
      <c r="E46" s="8" t="s">
        <v>102</v>
      </c>
      <c r="F46" s="3">
        <f>100-2-9-2-2-2-3-2-1-2-2-1-2-13-17-9</f>
        <v>31</v>
      </c>
      <c r="G46" s="3" t="s">
        <v>84</v>
      </c>
      <c r="H46" s="9">
        <v>706.23</v>
      </c>
      <c r="I46" s="5">
        <f t="shared" si="1"/>
        <v>21893.13</v>
      </c>
    </row>
    <row r="47" spans="1:9" x14ac:dyDescent="0.25">
      <c r="A47" s="3">
        <v>34</v>
      </c>
      <c r="B47" s="4">
        <v>45230</v>
      </c>
      <c r="C47" s="4">
        <v>45230</v>
      </c>
      <c r="D47" s="7" t="s">
        <v>101</v>
      </c>
      <c r="E47" s="8" t="s">
        <v>620</v>
      </c>
      <c r="F47" s="3">
        <v>50</v>
      </c>
      <c r="G47" s="3" t="s">
        <v>84</v>
      </c>
      <c r="H47" s="9">
        <v>685.49739999999997</v>
      </c>
      <c r="I47" s="5">
        <f t="shared" si="1"/>
        <v>34274.869999999995</v>
      </c>
    </row>
    <row r="48" spans="1:9" x14ac:dyDescent="0.25">
      <c r="A48" s="3">
        <v>35</v>
      </c>
      <c r="B48" s="4">
        <v>44897</v>
      </c>
      <c r="C48" s="4">
        <v>44897</v>
      </c>
      <c r="D48" s="7" t="s">
        <v>103</v>
      </c>
      <c r="E48" s="8" t="s">
        <v>104</v>
      </c>
      <c r="F48" s="3">
        <f>1150-200-15-12</f>
        <v>923</v>
      </c>
      <c r="G48" s="3" t="s">
        <v>12</v>
      </c>
      <c r="H48" s="9">
        <v>156.70400000000001</v>
      </c>
      <c r="I48" s="5">
        <f t="shared" si="1"/>
        <v>144637.79200000002</v>
      </c>
    </row>
    <row r="49" spans="1:12" x14ac:dyDescent="0.25">
      <c r="A49" s="3">
        <v>36</v>
      </c>
      <c r="B49" s="4">
        <v>44897</v>
      </c>
      <c r="C49" s="4">
        <v>44897</v>
      </c>
      <c r="D49" s="7" t="s">
        <v>103</v>
      </c>
      <c r="E49" s="8" t="s">
        <v>105</v>
      </c>
      <c r="F49" s="3">
        <f>1150-200-15-12</f>
        <v>923</v>
      </c>
      <c r="G49" s="3" t="s">
        <v>12</v>
      </c>
      <c r="H49" s="9">
        <v>156.70400000000001</v>
      </c>
      <c r="I49" s="5">
        <f t="shared" si="1"/>
        <v>144637.79200000002</v>
      </c>
    </row>
    <row r="50" spans="1:12" x14ac:dyDescent="0.25">
      <c r="A50" s="3">
        <v>37</v>
      </c>
      <c r="B50" s="4">
        <v>45230</v>
      </c>
      <c r="C50" s="4">
        <v>45230</v>
      </c>
      <c r="D50" s="7" t="s">
        <v>106</v>
      </c>
      <c r="E50" s="8" t="s">
        <v>107</v>
      </c>
      <c r="F50" s="36">
        <f>100-1-2-10-7-10-7-11-44</f>
        <v>8</v>
      </c>
      <c r="G50" s="36" t="s">
        <v>84</v>
      </c>
      <c r="H50" s="37">
        <v>267.86</v>
      </c>
      <c r="I50" s="5">
        <f t="shared" si="1"/>
        <v>2142.88</v>
      </c>
    </row>
    <row r="51" spans="1:12" x14ac:dyDescent="0.25">
      <c r="A51" s="3">
        <v>38</v>
      </c>
      <c r="B51" s="4">
        <v>45230</v>
      </c>
      <c r="C51" s="4">
        <v>45230</v>
      </c>
      <c r="D51" s="7" t="s">
        <v>108</v>
      </c>
      <c r="E51" s="38" t="s">
        <v>109</v>
      </c>
      <c r="F51" s="36">
        <f>500-335</f>
        <v>165</v>
      </c>
      <c r="G51" s="36" t="s">
        <v>84</v>
      </c>
      <c r="H51" s="37">
        <v>65.489999999999995</v>
      </c>
      <c r="I51" s="6">
        <f t="shared" si="1"/>
        <v>10805.849999999999</v>
      </c>
    </row>
    <row r="52" spans="1:12" x14ac:dyDescent="0.25">
      <c r="A52" s="3">
        <v>39</v>
      </c>
      <c r="B52" s="4">
        <v>45230</v>
      </c>
      <c r="C52" s="4">
        <v>45230</v>
      </c>
      <c r="D52" s="7" t="s">
        <v>110</v>
      </c>
      <c r="E52" s="8" t="s">
        <v>111</v>
      </c>
      <c r="F52" s="3">
        <v>3259</v>
      </c>
      <c r="G52" s="3" t="s">
        <v>12</v>
      </c>
      <c r="H52" s="35">
        <v>4.7708333300000003</v>
      </c>
      <c r="I52" s="5">
        <f>+F52*H52</f>
        <v>15548.145822470002</v>
      </c>
    </row>
    <row r="53" spans="1:12" x14ac:dyDescent="0.25">
      <c r="A53" s="3">
        <v>40</v>
      </c>
      <c r="B53" s="4">
        <v>45230</v>
      </c>
      <c r="C53" s="4">
        <v>45230</v>
      </c>
      <c r="D53" s="7" t="s">
        <v>112</v>
      </c>
      <c r="E53" s="8" t="s">
        <v>113</v>
      </c>
      <c r="F53" s="3">
        <f>460-405</f>
        <v>55</v>
      </c>
      <c r="G53" s="3" t="s">
        <v>12</v>
      </c>
      <c r="H53" s="35">
        <v>69.295500000000004</v>
      </c>
      <c r="I53" s="5">
        <f t="shared" si="1"/>
        <v>3811.2525000000001</v>
      </c>
    </row>
    <row r="54" spans="1:12" x14ac:dyDescent="0.25">
      <c r="A54" s="3">
        <v>41</v>
      </c>
      <c r="B54" s="4">
        <v>44166</v>
      </c>
      <c r="C54" s="4">
        <v>44166</v>
      </c>
      <c r="D54" s="7" t="s">
        <v>114</v>
      </c>
      <c r="E54" s="8" t="s">
        <v>115</v>
      </c>
      <c r="F54" s="3">
        <f>1449-19-1-30-32-31-32-18-30-67-83-46-13</f>
        <v>1047</v>
      </c>
      <c r="G54" s="3" t="s">
        <v>12</v>
      </c>
      <c r="H54" s="9">
        <v>78.666666000000006</v>
      </c>
      <c r="I54" s="5">
        <f t="shared" si="1"/>
        <v>82363.999302000011</v>
      </c>
    </row>
    <row r="55" spans="1:12" x14ac:dyDescent="0.25">
      <c r="A55" s="3">
        <v>42</v>
      </c>
      <c r="B55" s="4">
        <v>45230</v>
      </c>
      <c r="C55" s="4">
        <v>45230</v>
      </c>
      <c r="D55" s="7" t="s">
        <v>116</v>
      </c>
      <c r="E55" s="8" t="s">
        <v>117</v>
      </c>
      <c r="F55" s="3">
        <f>350-75-60-4-90-65-1</f>
        <v>55</v>
      </c>
      <c r="G55" s="3" t="s">
        <v>12</v>
      </c>
      <c r="H55" s="35">
        <v>30.054600000000001</v>
      </c>
      <c r="I55" s="5">
        <f t="shared" si="1"/>
        <v>1653.0029999999999</v>
      </c>
    </row>
    <row r="56" spans="1:12" x14ac:dyDescent="0.25">
      <c r="A56" s="3">
        <v>43</v>
      </c>
      <c r="B56" s="4">
        <v>44518</v>
      </c>
      <c r="C56" s="4">
        <v>44518</v>
      </c>
      <c r="D56" s="7" t="s">
        <v>118</v>
      </c>
      <c r="E56" s="8" t="s">
        <v>119</v>
      </c>
      <c r="F56" s="3">
        <f>12-1-2-1-2-1-1-1</f>
        <v>3</v>
      </c>
      <c r="G56" s="3" t="s">
        <v>12</v>
      </c>
      <c r="H56" s="35">
        <v>1172.625</v>
      </c>
      <c r="I56" s="5">
        <f>H56*F56</f>
        <v>3517.875</v>
      </c>
      <c r="L56" s="23" t="s">
        <v>512</v>
      </c>
    </row>
    <row r="57" spans="1:12" x14ac:dyDescent="0.25">
      <c r="A57" s="3">
        <v>44</v>
      </c>
      <c r="B57" s="4">
        <v>43329</v>
      </c>
      <c r="C57" s="4">
        <v>43329</v>
      </c>
      <c r="D57" s="7" t="s">
        <v>118</v>
      </c>
      <c r="E57" s="8" t="s">
        <v>120</v>
      </c>
      <c r="F57" s="3">
        <f>36-1-2</f>
        <v>33</v>
      </c>
      <c r="G57" s="3" t="s">
        <v>121</v>
      </c>
      <c r="H57" s="9">
        <v>283.91000000000003</v>
      </c>
      <c r="I57" s="5">
        <f t="shared" ref="I57:I111" si="3">+F57*H57</f>
        <v>9369.0300000000007</v>
      </c>
    </row>
    <row r="58" spans="1:12" x14ac:dyDescent="0.25">
      <c r="A58" s="3">
        <v>45</v>
      </c>
      <c r="B58" s="4">
        <v>45457</v>
      </c>
      <c r="C58" s="4">
        <v>45457</v>
      </c>
      <c r="D58" s="7" t="s">
        <v>163</v>
      </c>
      <c r="E58" s="8" t="s">
        <v>538</v>
      </c>
      <c r="F58" s="3">
        <v>90</v>
      </c>
      <c r="G58" s="3" t="s">
        <v>12</v>
      </c>
      <c r="H58" s="9">
        <v>63.72</v>
      </c>
      <c r="I58" s="5">
        <f t="shared" si="3"/>
        <v>5734.8</v>
      </c>
    </row>
    <row r="59" spans="1:12" x14ac:dyDescent="0.25">
      <c r="A59" s="3">
        <v>46</v>
      </c>
      <c r="B59" s="4">
        <v>45457</v>
      </c>
      <c r="C59" s="4">
        <v>45457</v>
      </c>
      <c r="D59" s="7" t="s">
        <v>579</v>
      </c>
      <c r="E59" s="8" t="s">
        <v>539</v>
      </c>
      <c r="F59" s="3">
        <v>200</v>
      </c>
      <c r="G59" s="3" t="s">
        <v>12</v>
      </c>
      <c r="H59" s="9">
        <v>96.76</v>
      </c>
      <c r="I59" s="5">
        <f t="shared" si="3"/>
        <v>19352</v>
      </c>
    </row>
    <row r="60" spans="1:12" x14ac:dyDescent="0.25">
      <c r="A60" s="3">
        <v>47</v>
      </c>
      <c r="B60" s="4">
        <v>45457</v>
      </c>
      <c r="C60" s="4">
        <v>45457</v>
      </c>
      <c r="D60" s="7" t="s">
        <v>580</v>
      </c>
      <c r="E60" s="8" t="s">
        <v>540</v>
      </c>
      <c r="F60" s="3">
        <v>200</v>
      </c>
      <c r="G60" s="3" t="s">
        <v>12</v>
      </c>
      <c r="H60" s="9">
        <v>28.32</v>
      </c>
      <c r="I60" s="5">
        <f t="shared" si="3"/>
        <v>5664</v>
      </c>
    </row>
    <row r="61" spans="1:12" x14ac:dyDescent="0.25">
      <c r="A61" s="3">
        <v>48</v>
      </c>
      <c r="B61" s="4">
        <v>45457</v>
      </c>
      <c r="C61" s="4">
        <v>45457</v>
      </c>
      <c r="D61" s="7" t="s">
        <v>581</v>
      </c>
      <c r="E61" s="8" t="s">
        <v>541</v>
      </c>
      <c r="F61" s="3">
        <v>200</v>
      </c>
      <c r="G61" s="3" t="s">
        <v>12</v>
      </c>
      <c r="H61" s="9">
        <v>18.88</v>
      </c>
      <c r="I61" s="5">
        <f t="shared" si="3"/>
        <v>3776</v>
      </c>
    </row>
    <row r="62" spans="1:12" x14ac:dyDescent="0.25">
      <c r="A62" s="3">
        <v>49</v>
      </c>
      <c r="B62" s="4">
        <v>45457</v>
      </c>
      <c r="C62" s="4">
        <v>45457</v>
      </c>
      <c r="D62" s="7" t="s">
        <v>582</v>
      </c>
      <c r="E62" s="8" t="s">
        <v>542</v>
      </c>
      <c r="F62" s="3">
        <v>200</v>
      </c>
      <c r="G62" s="3" t="s">
        <v>12</v>
      </c>
      <c r="H62" s="9">
        <v>30.09</v>
      </c>
      <c r="I62" s="5">
        <f t="shared" si="3"/>
        <v>6018</v>
      </c>
    </row>
    <row r="63" spans="1:12" x14ac:dyDescent="0.25">
      <c r="A63" s="3">
        <v>50</v>
      </c>
      <c r="B63" s="4">
        <v>45457</v>
      </c>
      <c r="C63" s="4">
        <v>45457</v>
      </c>
      <c r="D63" s="7" t="s">
        <v>583</v>
      </c>
      <c r="E63" s="8" t="s">
        <v>543</v>
      </c>
      <c r="F63" s="3">
        <v>100</v>
      </c>
      <c r="G63" s="3" t="s">
        <v>12</v>
      </c>
      <c r="H63" s="9">
        <v>40.119999999999997</v>
      </c>
      <c r="I63" s="5">
        <f t="shared" si="3"/>
        <v>4011.9999999999995</v>
      </c>
    </row>
    <row r="64" spans="1:12" x14ac:dyDescent="0.25">
      <c r="A64" s="3">
        <v>51</v>
      </c>
      <c r="B64" s="4">
        <v>45457</v>
      </c>
      <c r="C64" s="4">
        <v>45457</v>
      </c>
      <c r="D64" s="7" t="s">
        <v>584</v>
      </c>
      <c r="E64" s="8" t="s">
        <v>544</v>
      </c>
      <c r="F64" s="3">
        <v>300</v>
      </c>
      <c r="G64" s="3" t="s">
        <v>12</v>
      </c>
      <c r="H64" s="9">
        <v>45.725000000000001</v>
      </c>
      <c r="I64" s="5">
        <f t="shared" si="3"/>
        <v>13717.5</v>
      </c>
    </row>
    <row r="65" spans="1:9" x14ac:dyDescent="0.25">
      <c r="A65" s="3">
        <v>52</v>
      </c>
      <c r="B65" s="4">
        <v>45457</v>
      </c>
      <c r="C65" s="4">
        <v>45457</v>
      </c>
      <c r="D65" s="7" t="s">
        <v>585</v>
      </c>
      <c r="E65" s="8" t="s">
        <v>545</v>
      </c>
      <c r="F65" s="3">
        <v>100</v>
      </c>
      <c r="G65" s="3" t="s">
        <v>12</v>
      </c>
      <c r="H65" s="9">
        <v>142.19</v>
      </c>
      <c r="I65" s="5">
        <f t="shared" si="3"/>
        <v>14219</v>
      </c>
    </row>
    <row r="66" spans="1:9" x14ac:dyDescent="0.25">
      <c r="A66" s="3">
        <v>53</v>
      </c>
      <c r="B66" s="4">
        <v>45457</v>
      </c>
      <c r="C66" s="4">
        <v>45457</v>
      </c>
      <c r="D66" s="7" t="s">
        <v>586</v>
      </c>
      <c r="E66" s="8" t="s">
        <v>546</v>
      </c>
      <c r="F66" s="3">
        <v>300</v>
      </c>
      <c r="G66" s="3" t="s">
        <v>12</v>
      </c>
      <c r="H66" s="9">
        <v>53.5</v>
      </c>
      <c r="I66" s="5">
        <f t="shared" si="3"/>
        <v>16050</v>
      </c>
    </row>
    <row r="67" spans="1:9" x14ac:dyDescent="0.25">
      <c r="A67" s="3">
        <v>54</v>
      </c>
      <c r="B67" s="4">
        <v>45457</v>
      </c>
      <c r="C67" s="4">
        <v>45457</v>
      </c>
      <c r="D67" s="7" t="s">
        <v>587</v>
      </c>
      <c r="E67" s="8" t="s">
        <v>547</v>
      </c>
      <c r="F67" s="3">
        <v>100</v>
      </c>
      <c r="G67" s="3" t="s">
        <v>12</v>
      </c>
      <c r="H67" s="9">
        <v>53.5</v>
      </c>
      <c r="I67" s="5">
        <f t="shared" si="3"/>
        <v>5350</v>
      </c>
    </row>
    <row r="68" spans="1:9" x14ac:dyDescent="0.25">
      <c r="A68" s="3">
        <v>55</v>
      </c>
      <c r="B68" s="4">
        <v>45457</v>
      </c>
      <c r="C68" s="4">
        <v>45457</v>
      </c>
      <c r="D68" s="7" t="s">
        <v>132</v>
      </c>
      <c r="E68" s="8" t="s">
        <v>548</v>
      </c>
      <c r="F68" s="3">
        <v>60</v>
      </c>
      <c r="G68" s="3" t="s">
        <v>12</v>
      </c>
      <c r="H68" s="9">
        <v>69.03</v>
      </c>
      <c r="I68" s="5">
        <f t="shared" si="3"/>
        <v>4141.8</v>
      </c>
    </row>
    <row r="69" spans="1:9" x14ac:dyDescent="0.25">
      <c r="A69" s="3">
        <v>56</v>
      </c>
      <c r="B69" s="4">
        <v>45457</v>
      </c>
      <c r="C69" s="4">
        <v>45457</v>
      </c>
      <c r="D69" s="7" t="s">
        <v>134</v>
      </c>
      <c r="E69" s="8" t="s">
        <v>549</v>
      </c>
      <c r="F69" s="3">
        <v>200</v>
      </c>
      <c r="G69" s="3" t="s">
        <v>12</v>
      </c>
      <c r="H69" s="9">
        <v>108.678</v>
      </c>
      <c r="I69" s="5">
        <f t="shared" si="3"/>
        <v>21735.599999999999</v>
      </c>
    </row>
    <row r="70" spans="1:9" x14ac:dyDescent="0.25">
      <c r="A70" s="3">
        <v>57</v>
      </c>
      <c r="B70" s="4">
        <v>45464</v>
      </c>
      <c r="C70" s="4">
        <v>45464</v>
      </c>
      <c r="D70" s="7" t="s">
        <v>136</v>
      </c>
      <c r="E70" s="8" t="s">
        <v>569</v>
      </c>
      <c r="F70" s="3">
        <v>150</v>
      </c>
      <c r="G70" s="3" t="s">
        <v>12</v>
      </c>
      <c r="H70" s="9">
        <v>478.49</v>
      </c>
      <c r="I70" s="5">
        <f t="shared" si="3"/>
        <v>71773.5</v>
      </c>
    </row>
    <row r="71" spans="1:9" x14ac:dyDescent="0.25">
      <c r="A71" s="3">
        <v>58</v>
      </c>
      <c r="B71" s="4">
        <v>45464</v>
      </c>
      <c r="C71" s="4">
        <v>45464</v>
      </c>
      <c r="D71" s="7" t="s">
        <v>588</v>
      </c>
      <c r="E71" s="8" t="s">
        <v>570</v>
      </c>
      <c r="F71" s="3">
        <v>75</v>
      </c>
      <c r="G71" s="3" t="s">
        <v>12</v>
      </c>
      <c r="H71" s="9">
        <v>2348.1999999999998</v>
      </c>
      <c r="I71" s="5">
        <f t="shared" si="3"/>
        <v>176115</v>
      </c>
    </row>
    <row r="72" spans="1:9" x14ac:dyDescent="0.25">
      <c r="A72" s="3">
        <v>59</v>
      </c>
      <c r="B72" s="4">
        <v>45464</v>
      </c>
      <c r="C72" s="4">
        <v>45464</v>
      </c>
      <c r="D72" s="7" t="s">
        <v>140</v>
      </c>
      <c r="E72" s="8" t="s">
        <v>571</v>
      </c>
      <c r="F72" s="3">
        <v>50</v>
      </c>
      <c r="G72" s="3" t="s">
        <v>12</v>
      </c>
      <c r="H72" s="9">
        <v>2843.8</v>
      </c>
      <c r="I72" s="5">
        <f t="shared" si="3"/>
        <v>142190</v>
      </c>
    </row>
    <row r="73" spans="1:9" x14ac:dyDescent="0.25">
      <c r="A73" s="3">
        <v>60</v>
      </c>
      <c r="B73" s="4">
        <v>45464</v>
      </c>
      <c r="C73" s="4">
        <v>45464</v>
      </c>
      <c r="D73" s="7" t="s">
        <v>144</v>
      </c>
      <c r="E73" s="8" t="s">
        <v>552</v>
      </c>
      <c r="F73" s="3">
        <v>58</v>
      </c>
      <c r="G73" s="3" t="s">
        <v>12</v>
      </c>
      <c r="H73" s="9">
        <v>163.43</v>
      </c>
      <c r="I73" s="5">
        <f t="shared" si="3"/>
        <v>9478.94</v>
      </c>
    </row>
    <row r="74" spans="1:9" x14ac:dyDescent="0.25">
      <c r="A74" s="3">
        <v>61</v>
      </c>
      <c r="B74" s="4">
        <v>45457</v>
      </c>
      <c r="C74" s="4">
        <v>45457</v>
      </c>
      <c r="D74" s="7" t="s">
        <v>589</v>
      </c>
      <c r="E74" s="8" t="s">
        <v>550</v>
      </c>
      <c r="F74" s="3">
        <v>125</v>
      </c>
      <c r="G74" s="3" t="s">
        <v>12</v>
      </c>
      <c r="H74" s="9">
        <v>536.9</v>
      </c>
      <c r="I74" s="5">
        <f t="shared" si="3"/>
        <v>67112.5</v>
      </c>
    </row>
    <row r="75" spans="1:9" x14ac:dyDescent="0.25">
      <c r="A75" s="3">
        <v>62</v>
      </c>
      <c r="B75" s="4">
        <v>45457</v>
      </c>
      <c r="C75" s="4">
        <v>45457</v>
      </c>
      <c r="D75" s="7" t="s">
        <v>590</v>
      </c>
      <c r="E75" s="8" t="s">
        <v>551</v>
      </c>
      <c r="F75" s="3">
        <v>150</v>
      </c>
      <c r="G75" s="3" t="s">
        <v>12</v>
      </c>
      <c r="H75" s="9">
        <v>702.69</v>
      </c>
      <c r="I75" s="5">
        <f t="shared" si="3"/>
        <v>105403.50000000001</v>
      </c>
    </row>
    <row r="76" spans="1:9" x14ac:dyDescent="0.25">
      <c r="A76" s="3">
        <v>63</v>
      </c>
      <c r="B76" s="4">
        <v>45457</v>
      </c>
      <c r="C76" s="4">
        <v>45457</v>
      </c>
      <c r="D76" s="7" t="s">
        <v>152</v>
      </c>
      <c r="E76" s="8" t="s">
        <v>553</v>
      </c>
      <c r="F76" s="3">
        <v>100</v>
      </c>
      <c r="G76" s="3" t="s">
        <v>12</v>
      </c>
      <c r="H76" s="9">
        <v>411.23</v>
      </c>
      <c r="I76" s="5">
        <f t="shared" si="3"/>
        <v>41123</v>
      </c>
    </row>
    <row r="77" spans="1:9" x14ac:dyDescent="0.25">
      <c r="A77" s="3">
        <v>64</v>
      </c>
      <c r="B77" s="4">
        <v>45457</v>
      </c>
      <c r="C77" s="4">
        <v>45457</v>
      </c>
      <c r="D77" s="7" t="s">
        <v>591</v>
      </c>
      <c r="E77" s="8" t="s">
        <v>554</v>
      </c>
      <c r="F77" s="3">
        <v>75</v>
      </c>
      <c r="G77" s="3" t="s">
        <v>12</v>
      </c>
      <c r="H77" s="9">
        <v>644.16200000000003</v>
      </c>
      <c r="I77" s="5">
        <f t="shared" si="3"/>
        <v>48312.15</v>
      </c>
    </row>
    <row r="78" spans="1:9" x14ac:dyDescent="0.25">
      <c r="A78" s="3">
        <v>65</v>
      </c>
      <c r="B78" s="4">
        <v>45457</v>
      </c>
      <c r="C78" s="4">
        <v>45457</v>
      </c>
      <c r="D78" s="7" t="s">
        <v>156</v>
      </c>
      <c r="E78" s="8" t="s">
        <v>555</v>
      </c>
      <c r="F78" s="3">
        <v>100</v>
      </c>
      <c r="G78" s="3" t="s">
        <v>12</v>
      </c>
      <c r="H78" s="9">
        <v>316.00400000000002</v>
      </c>
      <c r="I78" s="5">
        <f t="shared" si="3"/>
        <v>31600.400000000001</v>
      </c>
    </row>
    <row r="79" spans="1:9" x14ac:dyDescent="0.25">
      <c r="A79" s="3">
        <v>66</v>
      </c>
      <c r="B79" s="4">
        <v>45457</v>
      </c>
      <c r="C79" s="4">
        <v>45457</v>
      </c>
      <c r="D79" s="7" t="s">
        <v>159</v>
      </c>
      <c r="E79" s="8" t="s">
        <v>556</v>
      </c>
      <c r="F79" s="3">
        <v>300</v>
      </c>
      <c r="G79" s="3" t="s">
        <v>12</v>
      </c>
      <c r="H79" s="9">
        <v>137</v>
      </c>
      <c r="I79" s="5">
        <f t="shared" si="3"/>
        <v>41100</v>
      </c>
    </row>
    <row r="80" spans="1:9" x14ac:dyDescent="0.25">
      <c r="A80" s="3">
        <v>69</v>
      </c>
      <c r="B80" s="4">
        <v>45457</v>
      </c>
      <c r="C80" s="4">
        <v>45457</v>
      </c>
      <c r="D80" s="7" t="s">
        <v>163</v>
      </c>
      <c r="E80" s="8" t="s">
        <v>559</v>
      </c>
      <c r="F80" s="3">
        <v>500</v>
      </c>
      <c r="G80" s="3" t="s">
        <v>12</v>
      </c>
      <c r="H80" s="9">
        <v>67.260000000000005</v>
      </c>
      <c r="I80" s="5">
        <f t="shared" si="3"/>
        <v>33630</v>
      </c>
    </row>
    <row r="81" spans="1:9" x14ac:dyDescent="0.25">
      <c r="A81" s="3">
        <v>70</v>
      </c>
      <c r="B81" s="4">
        <v>45457</v>
      </c>
      <c r="C81" s="4">
        <v>45457</v>
      </c>
      <c r="D81" s="7" t="s">
        <v>579</v>
      </c>
      <c r="E81" s="8" t="s">
        <v>560</v>
      </c>
      <c r="F81" s="3">
        <v>60</v>
      </c>
      <c r="G81" s="3" t="s">
        <v>12</v>
      </c>
      <c r="H81" s="9">
        <v>318.60000000000002</v>
      </c>
      <c r="I81" s="5">
        <f t="shared" si="3"/>
        <v>19116</v>
      </c>
    </row>
    <row r="82" spans="1:9" x14ac:dyDescent="0.25">
      <c r="A82" s="3">
        <v>71</v>
      </c>
      <c r="B82" s="4">
        <v>45457</v>
      </c>
      <c r="C82" s="4">
        <v>45457</v>
      </c>
      <c r="D82" s="7" t="s">
        <v>580</v>
      </c>
      <c r="E82" s="8" t="s">
        <v>561</v>
      </c>
      <c r="F82" s="3">
        <v>200</v>
      </c>
      <c r="G82" s="3" t="s">
        <v>12</v>
      </c>
      <c r="H82" s="9">
        <v>378.19</v>
      </c>
      <c r="I82" s="5">
        <f t="shared" si="3"/>
        <v>75638</v>
      </c>
    </row>
    <row r="83" spans="1:9" x14ac:dyDescent="0.25">
      <c r="A83" s="3">
        <v>72</v>
      </c>
      <c r="B83" s="4">
        <v>45457</v>
      </c>
      <c r="C83" s="4">
        <v>45457</v>
      </c>
      <c r="D83" s="7" t="s">
        <v>581</v>
      </c>
      <c r="E83" s="8" t="s">
        <v>562</v>
      </c>
      <c r="F83" s="3">
        <v>141</v>
      </c>
      <c r="G83" s="3" t="s">
        <v>12</v>
      </c>
      <c r="H83" s="9">
        <v>318.60000000000002</v>
      </c>
      <c r="I83" s="5">
        <f t="shared" si="3"/>
        <v>44922.600000000006</v>
      </c>
    </row>
    <row r="84" spans="1:9" x14ac:dyDescent="0.25">
      <c r="A84" s="3">
        <v>73</v>
      </c>
      <c r="B84" s="4">
        <v>45457</v>
      </c>
      <c r="C84" s="4">
        <v>45457</v>
      </c>
      <c r="D84" s="7" t="s">
        <v>582</v>
      </c>
      <c r="E84" s="8" t="s">
        <v>563</v>
      </c>
      <c r="F84" s="3">
        <v>200</v>
      </c>
      <c r="G84" s="3" t="s">
        <v>12</v>
      </c>
      <c r="H84" s="9">
        <v>690.89</v>
      </c>
      <c r="I84" s="5">
        <f t="shared" si="3"/>
        <v>138178</v>
      </c>
    </row>
    <row r="85" spans="1:9" x14ac:dyDescent="0.25">
      <c r="A85" s="3">
        <v>74</v>
      </c>
      <c r="B85" s="4">
        <v>45457</v>
      </c>
      <c r="C85" s="4">
        <v>45457</v>
      </c>
      <c r="D85" s="7" t="s">
        <v>583</v>
      </c>
      <c r="E85" s="8" t="s">
        <v>564</v>
      </c>
      <c r="F85" s="3">
        <v>50</v>
      </c>
      <c r="G85" s="3" t="s">
        <v>12</v>
      </c>
      <c r="H85" s="9">
        <v>830.13</v>
      </c>
      <c r="I85" s="5">
        <f t="shared" si="3"/>
        <v>41506.5</v>
      </c>
    </row>
    <row r="86" spans="1:9" x14ac:dyDescent="0.25">
      <c r="A86" s="3">
        <v>75</v>
      </c>
      <c r="B86" s="4">
        <v>45457</v>
      </c>
      <c r="C86" s="4">
        <v>45457</v>
      </c>
      <c r="D86" s="7" t="s">
        <v>584</v>
      </c>
      <c r="E86" s="8" t="s">
        <v>565</v>
      </c>
      <c r="F86" s="3">
        <v>100</v>
      </c>
      <c r="G86" s="3" t="s">
        <v>12</v>
      </c>
      <c r="H86" s="9">
        <v>58.41</v>
      </c>
      <c r="I86" s="5">
        <f t="shared" si="3"/>
        <v>5841</v>
      </c>
    </row>
    <row r="87" spans="1:9" x14ac:dyDescent="0.25">
      <c r="A87" s="3">
        <v>76</v>
      </c>
      <c r="B87" s="4">
        <v>45457</v>
      </c>
      <c r="C87" s="4">
        <v>45457</v>
      </c>
      <c r="D87" s="7" t="s">
        <v>585</v>
      </c>
      <c r="E87" s="8" t="s">
        <v>566</v>
      </c>
      <c r="F87" s="3">
        <v>150</v>
      </c>
      <c r="G87" s="3" t="s">
        <v>12</v>
      </c>
      <c r="H87" s="9">
        <v>407.69</v>
      </c>
      <c r="I87" s="5">
        <f t="shared" si="3"/>
        <v>61153.5</v>
      </c>
    </row>
    <row r="88" spans="1:9" x14ac:dyDescent="0.25">
      <c r="A88" s="3">
        <v>77</v>
      </c>
      <c r="B88" s="4">
        <v>45457</v>
      </c>
      <c r="C88" s="4">
        <v>45457</v>
      </c>
      <c r="D88" s="7" t="s">
        <v>586</v>
      </c>
      <c r="E88" s="8" t="s">
        <v>567</v>
      </c>
      <c r="F88" s="3">
        <v>150</v>
      </c>
      <c r="G88" s="3" t="s">
        <v>12</v>
      </c>
      <c r="H88" s="9">
        <v>462.56</v>
      </c>
      <c r="I88" s="5">
        <f t="shared" si="3"/>
        <v>69384</v>
      </c>
    </row>
    <row r="89" spans="1:9" x14ac:dyDescent="0.25">
      <c r="A89" s="3">
        <v>78</v>
      </c>
      <c r="B89" s="4">
        <v>45457</v>
      </c>
      <c r="C89" s="4">
        <v>45457</v>
      </c>
      <c r="D89" s="7" t="s">
        <v>587</v>
      </c>
      <c r="E89" s="8" t="s">
        <v>568</v>
      </c>
      <c r="F89" s="3">
        <v>100</v>
      </c>
      <c r="G89" s="3" t="s">
        <v>12</v>
      </c>
      <c r="H89" s="9">
        <v>649.11800000000005</v>
      </c>
      <c r="I89" s="5">
        <f t="shared" si="3"/>
        <v>64911.8</v>
      </c>
    </row>
    <row r="90" spans="1:9" x14ac:dyDescent="0.25">
      <c r="A90" s="3">
        <v>79</v>
      </c>
      <c r="B90" s="4">
        <v>45014</v>
      </c>
      <c r="C90" s="4">
        <v>45014</v>
      </c>
      <c r="D90" s="7" t="s">
        <v>122</v>
      </c>
      <c r="E90" s="8" t="s">
        <v>123</v>
      </c>
      <c r="F90" s="3">
        <f>5000-365-308-190-39-213-262-322-318-125-260-46-144-326-305-907</f>
        <v>870</v>
      </c>
      <c r="G90" s="3" t="s">
        <v>121</v>
      </c>
      <c r="H90" s="9">
        <v>299.36599999999999</v>
      </c>
      <c r="I90" s="5">
        <f t="shared" si="3"/>
        <v>260448.41999999998</v>
      </c>
    </row>
    <row r="91" spans="1:9" x14ac:dyDescent="0.25">
      <c r="A91" s="3">
        <v>80</v>
      </c>
      <c r="B91" s="4">
        <v>44761</v>
      </c>
      <c r="C91" s="4">
        <v>44761</v>
      </c>
      <c r="D91" s="7" t="s">
        <v>124</v>
      </c>
      <c r="E91" s="8" t="s">
        <v>125</v>
      </c>
      <c r="F91" s="3">
        <f>1100-20-32-53-51-34</f>
        <v>910</v>
      </c>
      <c r="G91" s="3" t="s">
        <v>121</v>
      </c>
      <c r="H91" s="9">
        <v>402.99360000000001</v>
      </c>
      <c r="I91" s="5">
        <f t="shared" si="3"/>
        <v>366724.17600000004</v>
      </c>
    </row>
    <row r="92" spans="1:9" x14ac:dyDescent="0.25">
      <c r="A92" s="3">
        <v>81</v>
      </c>
      <c r="B92" s="4">
        <v>44748</v>
      </c>
      <c r="C92" s="4">
        <v>44748</v>
      </c>
      <c r="D92" s="7" t="s">
        <v>126</v>
      </c>
      <c r="E92" s="8" t="s">
        <v>127</v>
      </c>
      <c r="F92" s="3">
        <f>142-1-2-5</f>
        <v>134</v>
      </c>
      <c r="G92" s="3" t="s">
        <v>12</v>
      </c>
      <c r="H92" s="35">
        <v>305.02999999999997</v>
      </c>
      <c r="I92" s="5">
        <f t="shared" si="3"/>
        <v>40874.019999999997</v>
      </c>
    </row>
    <row r="93" spans="1:9" x14ac:dyDescent="0.25">
      <c r="A93" s="3">
        <v>82</v>
      </c>
      <c r="B93" s="4">
        <v>44166</v>
      </c>
      <c r="C93" s="4">
        <v>44166</v>
      </c>
      <c r="D93" s="7" t="s">
        <v>128</v>
      </c>
      <c r="E93" s="8" t="s">
        <v>129</v>
      </c>
      <c r="F93" s="3">
        <f>10-1-1</f>
        <v>8</v>
      </c>
      <c r="G93" s="3" t="s">
        <v>12</v>
      </c>
      <c r="H93" s="35">
        <v>554.6</v>
      </c>
      <c r="I93" s="5">
        <f t="shared" si="3"/>
        <v>4436.8</v>
      </c>
    </row>
    <row r="94" spans="1:9" x14ac:dyDescent="0.25">
      <c r="A94" s="3">
        <v>83</v>
      </c>
      <c r="B94" s="4">
        <v>44166</v>
      </c>
      <c r="C94" s="4">
        <v>44166</v>
      </c>
      <c r="D94" s="7" t="s">
        <v>130</v>
      </c>
      <c r="E94" s="8" t="s">
        <v>594</v>
      </c>
      <c r="F94" s="3">
        <f>200-5-2-2-1-3-1-1-3-3-4-2-38-10-3-3-3-1-2-1-2-5-4-6-39-44</f>
        <v>12</v>
      </c>
      <c r="G94" s="3" t="s">
        <v>12</v>
      </c>
      <c r="H94" s="35">
        <v>47.2</v>
      </c>
      <c r="I94" s="5">
        <f t="shared" si="3"/>
        <v>566.40000000000009</v>
      </c>
    </row>
    <row r="95" spans="1:9" x14ac:dyDescent="0.25">
      <c r="A95" s="3">
        <v>84</v>
      </c>
      <c r="B95" s="4">
        <v>44748</v>
      </c>
      <c r="C95" s="4">
        <v>44748</v>
      </c>
      <c r="D95" s="7" t="s">
        <v>130</v>
      </c>
      <c r="E95" s="8" t="s">
        <v>131</v>
      </c>
      <c r="F95" s="3">
        <v>150</v>
      </c>
      <c r="G95" s="3" t="s">
        <v>12</v>
      </c>
      <c r="H95" s="35">
        <v>40.71</v>
      </c>
      <c r="I95" s="5">
        <f t="shared" si="3"/>
        <v>6106.5</v>
      </c>
    </row>
    <row r="96" spans="1:9" x14ac:dyDescent="0.25">
      <c r="A96" s="3">
        <v>85</v>
      </c>
      <c r="B96" s="4">
        <v>45230</v>
      </c>
      <c r="C96" s="4">
        <v>45230</v>
      </c>
      <c r="D96" s="7" t="s">
        <v>130</v>
      </c>
      <c r="E96" s="8" t="s">
        <v>592</v>
      </c>
      <c r="F96" s="3">
        <v>100</v>
      </c>
      <c r="G96" s="3" t="s">
        <v>12</v>
      </c>
      <c r="H96" s="35">
        <v>66.08</v>
      </c>
      <c r="I96" s="5">
        <f t="shared" si="3"/>
        <v>6608</v>
      </c>
    </row>
    <row r="97" spans="1:9" x14ac:dyDescent="0.25">
      <c r="A97" s="3">
        <v>86</v>
      </c>
      <c r="B97" s="4">
        <v>44748</v>
      </c>
      <c r="C97" s="4">
        <v>44748</v>
      </c>
      <c r="D97" s="7" t="s">
        <v>132</v>
      </c>
      <c r="E97" s="8" t="s">
        <v>593</v>
      </c>
      <c r="F97" s="3">
        <f>150-4-11-3-7</f>
        <v>125</v>
      </c>
      <c r="G97" s="3" t="s">
        <v>12</v>
      </c>
      <c r="H97" s="35">
        <v>51.33</v>
      </c>
      <c r="I97" s="5">
        <f t="shared" si="3"/>
        <v>6416.25</v>
      </c>
    </row>
    <row r="98" spans="1:9" x14ac:dyDescent="0.25">
      <c r="A98" s="3">
        <v>87</v>
      </c>
      <c r="B98" s="4">
        <v>45230</v>
      </c>
      <c r="C98" s="4">
        <v>45230</v>
      </c>
      <c r="D98" s="7" t="s">
        <v>132</v>
      </c>
      <c r="E98" s="8" t="s">
        <v>133</v>
      </c>
      <c r="F98" s="3">
        <v>100</v>
      </c>
      <c r="G98" s="3" t="s">
        <v>12</v>
      </c>
      <c r="H98" s="35">
        <v>86.73</v>
      </c>
      <c r="I98" s="5">
        <f t="shared" si="3"/>
        <v>8673</v>
      </c>
    </row>
    <row r="99" spans="1:9" x14ac:dyDescent="0.25">
      <c r="A99" s="3">
        <v>88</v>
      </c>
      <c r="B99" s="4">
        <v>45230</v>
      </c>
      <c r="C99" s="4">
        <v>45230</v>
      </c>
      <c r="D99" s="7" t="s">
        <v>134</v>
      </c>
      <c r="E99" s="8" t="s">
        <v>135</v>
      </c>
      <c r="F99" s="3">
        <f>1200-432</f>
        <v>768</v>
      </c>
      <c r="G99" s="3" t="s">
        <v>12</v>
      </c>
      <c r="H99" s="35">
        <v>64.427999999999997</v>
      </c>
      <c r="I99" s="5">
        <f t="shared" si="3"/>
        <v>49480.703999999998</v>
      </c>
    </row>
    <row r="100" spans="1:9" x14ac:dyDescent="0.25">
      <c r="A100" s="3">
        <v>89</v>
      </c>
      <c r="B100" s="4">
        <v>45230</v>
      </c>
      <c r="C100" s="4">
        <v>45230</v>
      </c>
      <c r="D100" s="7" t="s">
        <v>136</v>
      </c>
      <c r="E100" s="8" t="s">
        <v>137</v>
      </c>
      <c r="F100" s="3">
        <f>1800-840</f>
        <v>960</v>
      </c>
      <c r="G100" s="3" t="s">
        <v>12</v>
      </c>
      <c r="H100" s="35">
        <v>41.630400000000002</v>
      </c>
      <c r="I100" s="5">
        <f t="shared" si="3"/>
        <v>39965.184000000001</v>
      </c>
    </row>
    <row r="101" spans="1:9" x14ac:dyDescent="0.25">
      <c r="A101" s="3">
        <v>90</v>
      </c>
      <c r="B101" s="4">
        <v>45230</v>
      </c>
      <c r="C101" s="4">
        <v>45230</v>
      </c>
      <c r="D101" s="7" t="s">
        <v>138</v>
      </c>
      <c r="E101" s="8" t="s">
        <v>139</v>
      </c>
      <c r="F101" s="3">
        <f>1800-19-7-55-73-43-89-74-240</f>
        <v>1200</v>
      </c>
      <c r="G101" s="3" t="s">
        <v>12</v>
      </c>
      <c r="H101" s="35">
        <v>38.999983329999999</v>
      </c>
      <c r="I101" s="5">
        <f t="shared" si="3"/>
        <v>46799.979996000002</v>
      </c>
    </row>
    <row r="102" spans="1:9" x14ac:dyDescent="0.25">
      <c r="A102" s="3">
        <v>91</v>
      </c>
      <c r="B102" s="4">
        <v>45230</v>
      </c>
      <c r="C102" s="4">
        <v>45230</v>
      </c>
      <c r="D102" s="7" t="s">
        <v>140</v>
      </c>
      <c r="E102" s="8" t="s">
        <v>141</v>
      </c>
      <c r="F102" s="3">
        <f>150-1-12</f>
        <v>137</v>
      </c>
      <c r="G102" s="3" t="s">
        <v>12</v>
      </c>
      <c r="H102" s="35">
        <v>80.098399999999998</v>
      </c>
      <c r="I102" s="5">
        <f t="shared" si="3"/>
        <v>10973.480799999999</v>
      </c>
    </row>
    <row r="103" spans="1:9" x14ac:dyDescent="0.25">
      <c r="A103" s="3">
        <v>92</v>
      </c>
      <c r="B103" s="4">
        <v>44753</v>
      </c>
      <c r="C103" s="4">
        <v>44753</v>
      </c>
      <c r="D103" s="7" t="s">
        <v>142</v>
      </c>
      <c r="E103" s="8" t="s">
        <v>143</v>
      </c>
      <c r="F103" s="3">
        <f>100-3-2-10-12-4-13-16-1</f>
        <v>39</v>
      </c>
      <c r="G103" s="3" t="s">
        <v>12</v>
      </c>
      <c r="H103" s="35">
        <v>17.640999999999998</v>
      </c>
      <c r="I103" s="5">
        <f>+F103*H103</f>
        <v>687.99899999999991</v>
      </c>
    </row>
    <row r="104" spans="1:9" x14ac:dyDescent="0.25">
      <c r="A104" s="3">
        <v>93</v>
      </c>
      <c r="B104" s="4">
        <v>44748</v>
      </c>
      <c r="C104" s="4">
        <v>44748</v>
      </c>
      <c r="D104" s="7" t="s">
        <v>144</v>
      </c>
      <c r="E104" s="8" t="s">
        <v>145</v>
      </c>
      <c r="F104" s="3">
        <f>200-9-105</f>
        <v>86</v>
      </c>
      <c r="G104" s="3" t="s">
        <v>12</v>
      </c>
      <c r="H104" s="35">
        <v>5.31</v>
      </c>
      <c r="I104" s="5">
        <f t="shared" si="3"/>
        <v>456.65999999999997</v>
      </c>
    </row>
    <row r="105" spans="1:9" x14ac:dyDescent="0.25">
      <c r="A105" s="3">
        <v>94</v>
      </c>
      <c r="B105" s="4">
        <v>44173</v>
      </c>
      <c r="C105" s="4">
        <v>44173</v>
      </c>
      <c r="D105" s="7" t="s">
        <v>146</v>
      </c>
      <c r="E105" s="8" t="s">
        <v>595</v>
      </c>
      <c r="F105" s="3">
        <f>5000-793-250-255-210-180-280-200-160-107-175</f>
        <v>2390</v>
      </c>
      <c r="G105" s="3" t="s">
        <v>12</v>
      </c>
      <c r="H105" s="35">
        <v>4.8097000000000003</v>
      </c>
      <c r="I105" s="5">
        <f t="shared" si="3"/>
        <v>11495.183000000001</v>
      </c>
    </row>
    <row r="106" spans="1:9" x14ac:dyDescent="0.25">
      <c r="A106" s="3">
        <v>95</v>
      </c>
      <c r="B106" s="4">
        <v>45268</v>
      </c>
      <c r="C106" s="4">
        <v>45268</v>
      </c>
      <c r="D106" s="7" t="s">
        <v>146</v>
      </c>
      <c r="E106" s="8" t="s">
        <v>147</v>
      </c>
      <c r="F106" s="3">
        <v>8</v>
      </c>
      <c r="G106" s="3" t="s">
        <v>84</v>
      </c>
      <c r="H106" s="35">
        <v>2885.855</v>
      </c>
      <c r="I106" s="5">
        <f t="shared" si="3"/>
        <v>23086.84</v>
      </c>
    </row>
    <row r="107" spans="1:9" x14ac:dyDescent="0.25">
      <c r="A107" s="3">
        <v>96</v>
      </c>
      <c r="B107" s="4">
        <v>45268</v>
      </c>
      <c r="C107" s="4">
        <v>45268</v>
      </c>
      <c r="D107" s="7" t="s">
        <v>146</v>
      </c>
      <c r="E107" s="8" t="s">
        <v>148</v>
      </c>
      <c r="F107" s="3">
        <v>1</v>
      </c>
      <c r="G107" s="3" t="s">
        <v>149</v>
      </c>
      <c r="H107" s="35">
        <v>9274.2099999999991</v>
      </c>
      <c r="I107" s="5">
        <f t="shared" si="3"/>
        <v>9274.2099999999991</v>
      </c>
    </row>
    <row r="108" spans="1:9" x14ac:dyDescent="0.25">
      <c r="A108" s="3">
        <v>97</v>
      </c>
      <c r="B108" s="4">
        <v>45230</v>
      </c>
      <c r="C108" s="4">
        <v>45230</v>
      </c>
      <c r="D108" s="7" t="s">
        <v>150</v>
      </c>
      <c r="E108" s="8" t="s">
        <v>151</v>
      </c>
      <c r="F108" s="3">
        <f>75-2-1-4-13-1</f>
        <v>54</v>
      </c>
      <c r="G108" s="3" t="s">
        <v>12</v>
      </c>
      <c r="H108" s="35">
        <v>2545.4960000000001</v>
      </c>
      <c r="I108" s="5">
        <f t="shared" si="3"/>
        <v>137456.78400000001</v>
      </c>
    </row>
    <row r="109" spans="1:9" x14ac:dyDescent="0.25">
      <c r="A109" s="3">
        <v>98</v>
      </c>
      <c r="B109" s="4">
        <v>45230</v>
      </c>
      <c r="C109" s="4">
        <v>45230</v>
      </c>
      <c r="D109" s="7" t="s">
        <v>152</v>
      </c>
      <c r="E109" s="8" t="s">
        <v>153</v>
      </c>
      <c r="F109" s="3">
        <f>58-10-2-10</f>
        <v>36</v>
      </c>
      <c r="G109" s="3" t="s">
        <v>12</v>
      </c>
      <c r="H109" s="35">
        <v>118.49550000000001</v>
      </c>
      <c r="I109" s="5">
        <f t="shared" si="3"/>
        <v>4265.8380000000006</v>
      </c>
    </row>
    <row r="110" spans="1:9" x14ac:dyDescent="0.25">
      <c r="A110" s="3">
        <v>99</v>
      </c>
      <c r="B110" s="4">
        <v>45230</v>
      </c>
      <c r="C110" s="4">
        <v>45230</v>
      </c>
      <c r="D110" s="7" t="s">
        <v>154</v>
      </c>
      <c r="E110" s="8" t="s">
        <v>155</v>
      </c>
      <c r="F110" s="3">
        <f>100-5-13-5</f>
        <v>77</v>
      </c>
      <c r="G110" s="3" t="s">
        <v>12</v>
      </c>
      <c r="H110" s="35">
        <v>383.5</v>
      </c>
      <c r="I110" s="5">
        <f t="shared" si="3"/>
        <v>29529.5</v>
      </c>
    </row>
    <row r="111" spans="1:9" x14ac:dyDescent="0.25">
      <c r="A111" s="3">
        <v>100</v>
      </c>
      <c r="B111" s="4">
        <v>40500</v>
      </c>
      <c r="C111" s="4">
        <v>40500</v>
      </c>
      <c r="D111" s="7" t="s">
        <v>156</v>
      </c>
      <c r="E111" s="8" t="s">
        <v>157</v>
      </c>
      <c r="F111" s="3">
        <f>417-7-6-5-6-5-10-13-18-6-6-6-11-6-4-5-7-6-6-6-6-6-7-5-6-5-6-5-12-8-5-5-5-5-2-6</f>
        <v>184</v>
      </c>
      <c r="G111" s="3" t="s">
        <v>12</v>
      </c>
      <c r="H111" s="35">
        <v>55</v>
      </c>
      <c r="I111" s="5">
        <f t="shared" si="3"/>
        <v>10120</v>
      </c>
    </row>
    <row r="112" spans="1:9" x14ac:dyDescent="0.25">
      <c r="A112" s="3">
        <v>101</v>
      </c>
      <c r="B112" s="4" t="s">
        <v>158</v>
      </c>
      <c r="C112" s="4" t="s">
        <v>158</v>
      </c>
      <c r="D112" s="7" t="s">
        <v>159</v>
      </c>
      <c r="E112" s="8" t="s">
        <v>160</v>
      </c>
      <c r="F112" s="3">
        <f>516-14-5-9-6-6-11-7-6-9-3-7-6-6-10-10-8-6-7-5-6-9-15-10-7-16-4-23-7-6-16-6-7-2-10-8-4-9-2-9-15-1</f>
        <v>183</v>
      </c>
      <c r="G112" s="3" t="s">
        <v>12</v>
      </c>
      <c r="H112" s="35">
        <v>110.92</v>
      </c>
      <c r="I112" s="5">
        <f>F112*H112</f>
        <v>20298.36</v>
      </c>
    </row>
    <row r="113" spans="1:9" x14ac:dyDescent="0.25">
      <c r="A113" s="3">
        <v>102</v>
      </c>
      <c r="B113" s="4">
        <v>44748</v>
      </c>
      <c r="C113" s="4">
        <v>44748</v>
      </c>
      <c r="D113" s="7" t="s">
        <v>161</v>
      </c>
      <c r="E113" s="8" t="s">
        <v>162</v>
      </c>
      <c r="F113" s="3">
        <f>100-8-6-2-4-4-6-6-2-5-8-10-1</f>
        <v>38</v>
      </c>
      <c r="G113" s="3" t="s">
        <v>12</v>
      </c>
      <c r="H113" s="35">
        <v>77.644000000000005</v>
      </c>
      <c r="I113" s="5">
        <f>F113*H113</f>
        <v>2950.4720000000002</v>
      </c>
    </row>
    <row r="114" spans="1:9" x14ac:dyDescent="0.25">
      <c r="A114" s="3">
        <v>103</v>
      </c>
      <c r="B114" s="4">
        <v>44921</v>
      </c>
      <c r="C114" s="4">
        <v>44921</v>
      </c>
      <c r="D114" s="7" t="s">
        <v>164</v>
      </c>
      <c r="E114" s="8" t="s">
        <v>165</v>
      </c>
      <c r="F114" s="3">
        <v>2</v>
      </c>
      <c r="G114" s="3" t="s">
        <v>12</v>
      </c>
      <c r="H114" s="35">
        <v>4472.2</v>
      </c>
      <c r="I114" s="5">
        <f t="shared" ref="I114:I161" si="4">F114*H114</f>
        <v>8944.4</v>
      </c>
    </row>
    <row r="115" spans="1:9" x14ac:dyDescent="0.25">
      <c r="A115" s="3">
        <v>104</v>
      </c>
      <c r="B115" s="4">
        <v>44921</v>
      </c>
      <c r="C115" s="4">
        <v>44921</v>
      </c>
      <c r="D115" s="7" t="s">
        <v>166</v>
      </c>
      <c r="E115" s="8" t="s">
        <v>167</v>
      </c>
      <c r="F115" s="3">
        <v>2</v>
      </c>
      <c r="G115" s="3" t="s">
        <v>12</v>
      </c>
      <c r="H115" s="35">
        <v>4472.2</v>
      </c>
      <c r="I115" s="5">
        <f t="shared" si="4"/>
        <v>8944.4</v>
      </c>
    </row>
    <row r="116" spans="1:9" x14ac:dyDescent="0.25">
      <c r="A116" s="3">
        <v>105</v>
      </c>
      <c r="B116" s="4">
        <v>44921</v>
      </c>
      <c r="C116" s="4">
        <v>44921</v>
      </c>
      <c r="D116" s="7" t="s">
        <v>168</v>
      </c>
      <c r="E116" s="8" t="s">
        <v>169</v>
      </c>
      <c r="F116" s="3">
        <v>2</v>
      </c>
      <c r="G116" s="3" t="s">
        <v>12</v>
      </c>
      <c r="H116" s="35">
        <v>4472.2</v>
      </c>
      <c r="I116" s="5">
        <f t="shared" si="4"/>
        <v>8944.4</v>
      </c>
    </row>
    <row r="117" spans="1:9" x14ac:dyDescent="0.25">
      <c r="A117" s="3">
        <v>106</v>
      </c>
      <c r="B117" s="4">
        <v>44707</v>
      </c>
      <c r="C117" s="4">
        <v>44707</v>
      </c>
      <c r="D117" s="7" t="s">
        <v>170</v>
      </c>
      <c r="E117" s="8" t="s">
        <v>171</v>
      </c>
      <c r="F117" s="3">
        <f>25-8</f>
        <v>17</v>
      </c>
      <c r="G117" s="3" t="s">
        <v>12</v>
      </c>
      <c r="H117" s="35">
        <v>4804.96</v>
      </c>
      <c r="I117" s="5">
        <f t="shared" si="4"/>
        <v>81684.320000000007</v>
      </c>
    </row>
    <row r="118" spans="1:9" x14ac:dyDescent="0.25">
      <c r="A118" s="3">
        <v>107</v>
      </c>
      <c r="B118" s="4">
        <v>44707</v>
      </c>
      <c r="C118" s="4">
        <v>44707</v>
      </c>
      <c r="D118" s="4" t="s">
        <v>172</v>
      </c>
      <c r="E118" s="8" t="s">
        <v>596</v>
      </c>
      <c r="F118" s="3">
        <f>48-2-3-1-8-2</f>
        <v>32</v>
      </c>
      <c r="G118" s="3" t="s">
        <v>12</v>
      </c>
      <c r="H118" s="35">
        <v>4472.2</v>
      </c>
      <c r="I118" s="5">
        <f t="shared" si="4"/>
        <v>143110.39999999999</v>
      </c>
    </row>
    <row r="119" spans="1:9" x14ac:dyDescent="0.25">
      <c r="A119" s="3">
        <v>108</v>
      </c>
      <c r="B119" s="4">
        <v>44707</v>
      </c>
      <c r="C119" s="4">
        <v>44707</v>
      </c>
      <c r="D119" s="4" t="s">
        <v>174</v>
      </c>
      <c r="E119" s="8" t="s">
        <v>597</v>
      </c>
      <c r="F119" s="3">
        <f>12-2-2-3-1</f>
        <v>4</v>
      </c>
      <c r="G119" s="3" t="s">
        <v>12</v>
      </c>
      <c r="H119" s="35">
        <v>4487.54</v>
      </c>
      <c r="I119" s="5">
        <f t="shared" si="4"/>
        <v>17950.16</v>
      </c>
    </row>
    <row r="120" spans="1:9" s="58" customFormat="1" x14ac:dyDescent="0.25">
      <c r="A120" s="3">
        <v>112</v>
      </c>
      <c r="B120" s="4">
        <v>44689</v>
      </c>
      <c r="C120" s="4">
        <v>45420</v>
      </c>
      <c r="D120" s="4" t="s">
        <v>172</v>
      </c>
      <c r="E120" s="8" t="s">
        <v>173</v>
      </c>
      <c r="F120" s="3">
        <v>21</v>
      </c>
      <c r="G120" s="3" t="s">
        <v>12</v>
      </c>
      <c r="H120" s="35">
        <v>4472.2</v>
      </c>
      <c r="I120" s="5">
        <f>F120*H120</f>
        <v>93916.2</v>
      </c>
    </row>
    <row r="121" spans="1:9" x14ac:dyDescent="0.25">
      <c r="A121" s="3">
        <v>114</v>
      </c>
      <c r="B121" s="4">
        <v>44689</v>
      </c>
      <c r="C121" s="4">
        <v>45420</v>
      </c>
      <c r="D121" s="4" t="s">
        <v>174</v>
      </c>
      <c r="E121" s="8" t="s">
        <v>175</v>
      </c>
      <c r="F121" s="3">
        <v>36</v>
      </c>
      <c r="G121" s="3" t="s">
        <v>12</v>
      </c>
      <c r="H121" s="35">
        <v>4661</v>
      </c>
      <c r="I121" s="5">
        <f>F121*H121</f>
        <v>167796</v>
      </c>
    </row>
    <row r="122" spans="1:9" x14ac:dyDescent="0.25">
      <c r="A122" s="3">
        <v>109</v>
      </c>
      <c r="B122" s="4">
        <v>44921</v>
      </c>
      <c r="C122" s="4">
        <v>44921</v>
      </c>
      <c r="D122" s="4" t="s">
        <v>176</v>
      </c>
      <c r="E122" s="8" t="s">
        <v>177</v>
      </c>
      <c r="F122" s="3">
        <f>5-1-1-1</f>
        <v>2</v>
      </c>
      <c r="G122" s="3" t="s">
        <v>12</v>
      </c>
      <c r="H122" s="35">
        <v>7268.8</v>
      </c>
      <c r="I122" s="5">
        <f t="shared" si="4"/>
        <v>14537.6</v>
      </c>
    </row>
    <row r="123" spans="1:9" x14ac:dyDescent="0.25">
      <c r="A123" s="3">
        <v>110</v>
      </c>
      <c r="B123" s="4">
        <v>44921</v>
      </c>
      <c r="C123" s="4">
        <v>44921</v>
      </c>
      <c r="D123" s="4" t="s">
        <v>178</v>
      </c>
      <c r="E123" s="8" t="s">
        <v>208</v>
      </c>
      <c r="F123" s="3">
        <f>50-1-2-2-1-3-1-2-2-1-3-4-6</f>
        <v>22</v>
      </c>
      <c r="G123" s="3" t="s">
        <v>12</v>
      </c>
      <c r="H123" s="35">
        <v>8602.2000000000007</v>
      </c>
      <c r="I123" s="5">
        <f t="shared" si="4"/>
        <v>189248.40000000002</v>
      </c>
    </row>
    <row r="124" spans="1:9" x14ac:dyDescent="0.25">
      <c r="A124" s="3">
        <v>111</v>
      </c>
      <c r="B124" s="4">
        <v>45420</v>
      </c>
      <c r="C124" s="4">
        <v>44921</v>
      </c>
      <c r="D124" s="4" t="s">
        <v>178</v>
      </c>
      <c r="E124" s="8" t="s">
        <v>466</v>
      </c>
      <c r="F124" s="3">
        <v>30</v>
      </c>
      <c r="G124" s="3" t="s">
        <v>12</v>
      </c>
      <c r="H124" s="35">
        <v>5664</v>
      </c>
      <c r="I124" s="5">
        <f t="shared" si="4"/>
        <v>169920</v>
      </c>
    </row>
    <row r="125" spans="1:9" x14ac:dyDescent="0.25">
      <c r="A125" s="3">
        <v>113</v>
      </c>
      <c r="B125" s="4">
        <v>44689</v>
      </c>
      <c r="C125" s="4">
        <v>45420</v>
      </c>
      <c r="D125" s="7" t="s">
        <v>524</v>
      </c>
      <c r="E125" s="8" t="s">
        <v>467</v>
      </c>
      <c r="F125" s="3">
        <v>35</v>
      </c>
      <c r="G125" s="3" t="s">
        <v>12</v>
      </c>
      <c r="H125" s="35">
        <v>7080</v>
      </c>
      <c r="I125" s="5">
        <f t="shared" si="4"/>
        <v>247800</v>
      </c>
    </row>
    <row r="126" spans="1:9" x14ac:dyDescent="0.25">
      <c r="A126" s="3">
        <v>115</v>
      </c>
      <c r="B126" s="4">
        <v>45420</v>
      </c>
      <c r="C126" s="4">
        <v>44921</v>
      </c>
      <c r="D126" s="7" t="s">
        <v>525</v>
      </c>
      <c r="E126" s="8" t="s">
        <v>468</v>
      </c>
      <c r="F126" s="3">
        <v>10</v>
      </c>
      <c r="G126" s="3" t="s">
        <v>12</v>
      </c>
      <c r="H126" s="35">
        <v>6619.8</v>
      </c>
      <c r="I126" s="5">
        <f t="shared" si="4"/>
        <v>66198</v>
      </c>
    </row>
    <row r="127" spans="1:9" x14ac:dyDescent="0.25">
      <c r="A127" s="3">
        <v>116</v>
      </c>
      <c r="B127" s="4">
        <v>45420</v>
      </c>
      <c r="C127" s="4">
        <v>45420</v>
      </c>
      <c r="D127" s="7" t="s">
        <v>526</v>
      </c>
      <c r="E127" s="8" t="s">
        <v>469</v>
      </c>
      <c r="F127" s="3">
        <v>8</v>
      </c>
      <c r="G127" s="3" t="s">
        <v>12</v>
      </c>
      <c r="H127" s="35">
        <v>6844</v>
      </c>
      <c r="I127" s="5">
        <f t="shared" si="4"/>
        <v>54752</v>
      </c>
    </row>
    <row r="128" spans="1:9" x14ac:dyDescent="0.25">
      <c r="A128" s="3">
        <v>117</v>
      </c>
      <c r="B128" s="4">
        <v>45420</v>
      </c>
      <c r="C128" s="4">
        <v>45420</v>
      </c>
      <c r="D128" s="7" t="s">
        <v>526</v>
      </c>
      <c r="E128" s="8" t="s">
        <v>470</v>
      </c>
      <c r="F128" s="3">
        <v>8</v>
      </c>
      <c r="G128" s="3" t="s">
        <v>12</v>
      </c>
      <c r="H128" s="35">
        <v>6844</v>
      </c>
      <c r="I128" s="5">
        <f t="shared" si="4"/>
        <v>54752</v>
      </c>
    </row>
    <row r="129" spans="1:9" x14ac:dyDescent="0.25">
      <c r="A129" s="3">
        <v>118</v>
      </c>
      <c r="B129" s="4">
        <v>45420</v>
      </c>
      <c r="C129" s="4">
        <v>45420</v>
      </c>
      <c r="D129" s="7" t="s">
        <v>526</v>
      </c>
      <c r="E129" s="8" t="s">
        <v>471</v>
      </c>
      <c r="F129" s="3">
        <v>8</v>
      </c>
      <c r="G129" s="3" t="s">
        <v>12</v>
      </c>
      <c r="H129" s="35">
        <v>6844</v>
      </c>
      <c r="I129" s="5">
        <f t="shared" si="4"/>
        <v>54752</v>
      </c>
    </row>
    <row r="130" spans="1:9" x14ac:dyDescent="0.25">
      <c r="A130" s="3">
        <v>119</v>
      </c>
      <c r="B130" s="4">
        <v>45420</v>
      </c>
      <c r="C130" s="4">
        <v>45420</v>
      </c>
      <c r="D130" s="7" t="s">
        <v>526</v>
      </c>
      <c r="E130" s="8" t="s">
        <v>472</v>
      </c>
      <c r="F130" s="3">
        <v>10</v>
      </c>
      <c r="G130" s="3" t="s">
        <v>12</v>
      </c>
      <c r="H130" s="35">
        <v>10525</v>
      </c>
      <c r="I130" s="5">
        <f t="shared" si="4"/>
        <v>105250</v>
      </c>
    </row>
    <row r="131" spans="1:9" x14ac:dyDescent="0.25">
      <c r="A131" s="3">
        <v>120</v>
      </c>
      <c r="B131" s="4">
        <v>45420</v>
      </c>
      <c r="C131" s="4">
        <v>45420</v>
      </c>
      <c r="D131" s="7" t="s">
        <v>529</v>
      </c>
      <c r="E131" s="8" t="s">
        <v>473</v>
      </c>
      <c r="F131" s="3">
        <v>65</v>
      </c>
      <c r="G131" s="3" t="s">
        <v>12</v>
      </c>
      <c r="H131" s="35">
        <v>1888</v>
      </c>
      <c r="I131" s="5">
        <f t="shared" si="4"/>
        <v>122720</v>
      </c>
    </row>
    <row r="132" spans="1:9" x14ac:dyDescent="0.25">
      <c r="A132" s="3">
        <v>121</v>
      </c>
      <c r="B132" s="4">
        <v>45420</v>
      </c>
      <c r="C132" s="4">
        <v>45420</v>
      </c>
      <c r="D132" s="7" t="s">
        <v>528</v>
      </c>
      <c r="E132" s="8" t="s">
        <v>474</v>
      </c>
      <c r="F132" s="3">
        <v>35</v>
      </c>
      <c r="G132" s="3" t="s">
        <v>12</v>
      </c>
      <c r="H132" s="35">
        <v>1888</v>
      </c>
      <c r="I132" s="5">
        <f t="shared" si="4"/>
        <v>66080</v>
      </c>
    </row>
    <row r="133" spans="1:9" x14ac:dyDescent="0.25">
      <c r="A133" s="3">
        <v>122</v>
      </c>
      <c r="B133" s="4">
        <v>45420</v>
      </c>
      <c r="C133" s="4">
        <v>45420</v>
      </c>
      <c r="D133" s="7" t="s">
        <v>528</v>
      </c>
      <c r="E133" s="8" t="s">
        <v>475</v>
      </c>
      <c r="F133" s="3">
        <v>35</v>
      </c>
      <c r="G133" s="3" t="s">
        <v>12</v>
      </c>
      <c r="H133" s="35">
        <v>1888</v>
      </c>
      <c r="I133" s="5">
        <f t="shared" si="4"/>
        <v>66080</v>
      </c>
    </row>
    <row r="134" spans="1:9" x14ac:dyDescent="0.25">
      <c r="A134" s="3">
        <v>123</v>
      </c>
      <c r="B134" s="4">
        <v>45420</v>
      </c>
      <c r="C134" s="4">
        <v>45420</v>
      </c>
      <c r="D134" s="7" t="s">
        <v>527</v>
      </c>
      <c r="E134" s="8" t="s">
        <v>476</v>
      </c>
      <c r="F134" s="3">
        <v>45</v>
      </c>
      <c r="G134" s="3" t="s">
        <v>12</v>
      </c>
      <c r="H134" s="35">
        <v>1888</v>
      </c>
      <c r="I134" s="5">
        <f t="shared" si="4"/>
        <v>84960</v>
      </c>
    </row>
    <row r="135" spans="1:9" x14ac:dyDescent="0.25">
      <c r="A135" s="3">
        <v>124</v>
      </c>
      <c r="B135" s="4">
        <v>45420</v>
      </c>
      <c r="C135" s="4">
        <v>45420</v>
      </c>
      <c r="D135" s="7" t="s">
        <v>181</v>
      </c>
      <c r="E135" s="8" t="s">
        <v>477</v>
      </c>
      <c r="F135" s="3">
        <v>35</v>
      </c>
      <c r="G135" s="3" t="s">
        <v>12</v>
      </c>
      <c r="H135" s="35">
        <v>481.44</v>
      </c>
      <c r="I135" s="5">
        <f t="shared" si="4"/>
        <v>16850.400000000001</v>
      </c>
    </row>
    <row r="136" spans="1:9" x14ac:dyDescent="0.25">
      <c r="A136" s="3">
        <v>125</v>
      </c>
      <c r="B136" s="4">
        <v>45420</v>
      </c>
      <c r="C136" s="4">
        <v>45420</v>
      </c>
      <c r="D136" s="4" t="s">
        <v>183</v>
      </c>
      <c r="E136" s="8" t="s">
        <v>478</v>
      </c>
      <c r="F136" s="3">
        <v>35</v>
      </c>
      <c r="G136" s="3" t="s">
        <v>12</v>
      </c>
      <c r="H136" s="35">
        <v>481.44</v>
      </c>
      <c r="I136" s="5">
        <f t="shared" si="4"/>
        <v>16850.400000000001</v>
      </c>
    </row>
    <row r="137" spans="1:9" x14ac:dyDescent="0.25">
      <c r="A137" s="3">
        <v>126</v>
      </c>
      <c r="B137" s="4">
        <v>45420</v>
      </c>
      <c r="C137" s="4">
        <v>45420</v>
      </c>
      <c r="D137" s="4" t="s">
        <v>184</v>
      </c>
      <c r="E137" s="8" t="s">
        <v>479</v>
      </c>
      <c r="F137" s="3">
        <v>35</v>
      </c>
      <c r="G137" s="3" t="s">
        <v>12</v>
      </c>
      <c r="H137" s="35">
        <v>481.44</v>
      </c>
      <c r="I137" s="5">
        <f t="shared" si="4"/>
        <v>16850.400000000001</v>
      </c>
    </row>
    <row r="138" spans="1:9" x14ac:dyDescent="0.25">
      <c r="A138" s="3">
        <v>127</v>
      </c>
      <c r="B138" s="4">
        <v>45420</v>
      </c>
      <c r="C138" s="4">
        <v>45420</v>
      </c>
      <c r="D138" s="4" t="s">
        <v>186</v>
      </c>
      <c r="E138" s="8" t="s">
        <v>480</v>
      </c>
      <c r="F138" s="3">
        <v>35</v>
      </c>
      <c r="G138" s="3" t="s">
        <v>12</v>
      </c>
      <c r="H138" s="35">
        <v>481.44</v>
      </c>
      <c r="I138" s="5">
        <f t="shared" si="4"/>
        <v>16850.400000000001</v>
      </c>
    </row>
    <row r="139" spans="1:9" x14ac:dyDescent="0.25">
      <c r="A139" s="3">
        <v>128</v>
      </c>
      <c r="B139" s="4">
        <v>45420</v>
      </c>
      <c r="C139" s="4">
        <v>45420</v>
      </c>
      <c r="D139" s="4" t="s">
        <v>179</v>
      </c>
      <c r="E139" s="8" t="s">
        <v>180</v>
      </c>
      <c r="F139" s="3">
        <v>20</v>
      </c>
      <c r="G139" s="3" t="s">
        <v>12</v>
      </c>
      <c r="H139" s="35">
        <v>5664</v>
      </c>
      <c r="I139" s="5">
        <f t="shared" si="4"/>
        <v>113280</v>
      </c>
    </row>
    <row r="140" spans="1:9" x14ac:dyDescent="0.25">
      <c r="A140" s="3">
        <v>129</v>
      </c>
      <c r="B140" s="4">
        <v>44921</v>
      </c>
      <c r="C140" s="4">
        <v>44921</v>
      </c>
      <c r="D140" s="7" t="s">
        <v>181</v>
      </c>
      <c r="E140" s="8" t="s">
        <v>182</v>
      </c>
      <c r="F140" s="3">
        <f>300-2-4-10-9-9-4-2-6-10-9-10-9-3-8-12-7-23-7</f>
        <v>156</v>
      </c>
      <c r="G140" s="3" t="s">
        <v>12</v>
      </c>
      <c r="H140" s="35">
        <v>766.41</v>
      </c>
      <c r="I140" s="5">
        <f t="shared" si="4"/>
        <v>119559.95999999999</v>
      </c>
    </row>
    <row r="141" spans="1:9" x14ac:dyDescent="0.25">
      <c r="A141" s="3">
        <v>130</v>
      </c>
      <c r="B141" s="4">
        <v>44921</v>
      </c>
      <c r="C141" s="4">
        <v>44921</v>
      </c>
      <c r="D141" s="4" t="s">
        <v>184</v>
      </c>
      <c r="E141" s="8" t="s">
        <v>185</v>
      </c>
      <c r="F141" s="3">
        <f>79-1-5-6-3-3-1-5-5-4-4-1-3-10-10-7-10</f>
        <v>1</v>
      </c>
      <c r="G141" s="3" t="s">
        <v>12</v>
      </c>
      <c r="H141" s="35">
        <v>766.41</v>
      </c>
      <c r="I141" s="5">
        <f t="shared" si="4"/>
        <v>766.41</v>
      </c>
    </row>
    <row r="142" spans="1:9" x14ac:dyDescent="0.25">
      <c r="A142" s="3">
        <v>131</v>
      </c>
      <c r="B142" s="4">
        <v>44921</v>
      </c>
      <c r="C142" s="4">
        <v>44921</v>
      </c>
      <c r="D142" s="4" t="s">
        <v>186</v>
      </c>
      <c r="E142" s="8" t="s">
        <v>187</v>
      </c>
      <c r="F142" s="3">
        <f>79-1-5-6-3-3-1-5-5-4-4-1-3-10-7-10-3</f>
        <v>8</v>
      </c>
      <c r="G142" s="3" t="s">
        <v>12</v>
      </c>
      <c r="H142" s="35">
        <v>766.41</v>
      </c>
      <c r="I142" s="5">
        <f t="shared" si="4"/>
        <v>6131.28</v>
      </c>
    </row>
    <row r="143" spans="1:9" x14ac:dyDescent="0.25">
      <c r="A143" s="3">
        <v>132</v>
      </c>
      <c r="B143" s="4">
        <v>44533</v>
      </c>
      <c r="C143" s="4">
        <v>44533</v>
      </c>
      <c r="D143" s="4" t="s">
        <v>188</v>
      </c>
      <c r="E143" s="8" t="s">
        <v>598</v>
      </c>
      <c r="F143" s="3">
        <v>24</v>
      </c>
      <c r="G143" s="3" t="s">
        <v>12</v>
      </c>
      <c r="H143" s="35">
        <v>572.29999999999995</v>
      </c>
      <c r="I143" s="5">
        <f t="shared" si="4"/>
        <v>13735.199999999999</v>
      </c>
    </row>
    <row r="144" spans="1:9" x14ac:dyDescent="0.25">
      <c r="A144" s="3">
        <v>133</v>
      </c>
      <c r="B144" s="4">
        <v>44707</v>
      </c>
      <c r="C144" s="4">
        <v>44707</v>
      </c>
      <c r="D144" s="4" t="s">
        <v>188</v>
      </c>
      <c r="E144" s="8" t="s">
        <v>189</v>
      </c>
      <c r="F144" s="3">
        <v>20</v>
      </c>
      <c r="G144" s="3" t="s">
        <v>12</v>
      </c>
      <c r="H144" s="35">
        <v>601.79999999999995</v>
      </c>
      <c r="I144" s="5">
        <f t="shared" si="4"/>
        <v>12036</v>
      </c>
    </row>
    <row r="145" spans="1:9" x14ac:dyDescent="0.25">
      <c r="A145" s="3">
        <v>134</v>
      </c>
      <c r="B145" s="4">
        <v>44533</v>
      </c>
      <c r="C145" s="4">
        <v>44533</v>
      </c>
      <c r="D145" s="4" t="s">
        <v>190</v>
      </c>
      <c r="E145" s="8" t="s">
        <v>608</v>
      </c>
      <c r="F145" s="3">
        <v>16</v>
      </c>
      <c r="G145" s="3" t="s">
        <v>12</v>
      </c>
      <c r="H145" s="35">
        <v>572.29999999999995</v>
      </c>
      <c r="I145" s="5">
        <f t="shared" si="4"/>
        <v>9156.7999999999993</v>
      </c>
    </row>
    <row r="146" spans="1:9" x14ac:dyDescent="0.25">
      <c r="A146" s="3">
        <v>135</v>
      </c>
      <c r="B146" s="4">
        <v>44707</v>
      </c>
      <c r="C146" s="4">
        <v>44707</v>
      </c>
      <c r="D146" s="4" t="s">
        <v>190</v>
      </c>
      <c r="E146" s="8" t="s">
        <v>191</v>
      </c>
      <c r="F146" s="3">
        <v>20</v>
      </c>
      <c r="G146" s="3" t="s">
        <v>12</v>
      </c>
      <c r="H146" s="35">
        <v>601.79999999999995</v>
      </c>
      <c r="I146" s="5">
        <f t="shared" si="4"/>
        <v>12036</v>
      </c>
    </row>
    <row r="147" spans="1:9" x14ac:dyDescent="0.25">
      <c r="A147" s="3">
        <v>136</v>
      </c>
      <c r="B147" s="4">
        <v>44533</v>
      </c>
      <c r="C147" s="4">
        <v>44533</v>
      </c>
      <c r="D147" s="4" t="s">
        <v>192</v>
      </c>
      <c r="E147" s="8" t="s">
        <v>193</v>
      </c>
      <c r="F147" s="3">
        <v>16</v>
      </c>
      <c r="G147" s="3" t="s">
        <v>12</v>
      </c>
      <c r="H147" s="35">
        <v>572.29999999999995</v>
      </c>
      <c r="I147" s="5">
        <f t="shared" si="4"/>
        <v>9156.7999999999993</v>
      </c>
    </row>
    <row r="148" spans="1:9" x14ac:dyDescent="0.25">
      <c r="A148" s="3">
        <v>137</v>
      </c>
      <c r="B148" s="4">
        <v>44707</v>
      </c>
      <c r="C148" s="4">
        <v>44707</v>
      </c>
      <c r="D148" s="4" t="s">
        <v>192</v>
      </c>
      <c r="E148" s="8" t="s">
        <v>607</v>
      </c>
      <c r="F148" s="3">
        <v>20</v>
      </c>
      <c r="G148" s="3" t="s">
        <v>12</v>
      </c>
      <c r="H148" s="35">
        <v>601.79999999999995</v>
      </c>
      <c r="I148" s="5">
        <f t="shared" si="4"/>
        <v>12036</v>
      </c>
    </row>
    <row r="149" spans="1:9" x14ac:dyDescent="0.25">
      <c r="A149" s="3">
        <v>138</v>
      </c>
      <c r="B149" s="4">
        <v>44533</v>
      </c>
      <c r="C149" s="4">
        <v>44533</v>
      </c>
      <c r="D149" s="4" t="s">
        <v>194</v>
      </c>
      <c r="E149" s="8" t="s">
        <v>195</v>
      </c>
      <c r="F149" s="3">
        <v>16</v>
      </c>
      <c r="G149" s="3" t="s">
        <v>12</v>
      </c>
      <c r="H149" s="35">
        <v>572.29999999999995</v>
      </c>
      <c r="I149" s="5">
        <f t="shared" si="4"/>
        <v>9156.7999999999993</v>
      </c>
    </row>
    <row r="150" spans="1:9" x14ac:dyDescent="0.25">
      <c r="A150" s="3">
        <v>139</v>
      </c>
      <c r="B150" s="4">
        <v>44707</v>
      </c>
      <c r="C150" s="4">
        <v>44707</v>
      </c>
      <c r="D150" s="4" t="s">
        <v>194</v>
      </c>
      <c r="E150" s="8" t="s">
        <v>609</v>
      </c>
      <c r="F150" s="3">
        <v>20</v>
      </c>
      <c r="G150" s="3" t="s">
        <v>12</v>
      </c>
      <c r="H150" s="35">
        <v>601.79999999999995</v>
      </c>
      <c r="I150" s="5">
        <f t="shared" si="4"/>
        <v>12036</v>
      </c>
    </row>
    <row r="151" spans="1:9" x14ac:dyDescent="0.25">
      <c r="A151" s="3">
        <v>140</v>
      </c>
      <c r="B151" s="4">
        <v>44533</v>
      </c>
      <c r="C151" s="4">
        <v>44533</v>
      </c>
      <c r="D151" s="7" t="s">
        <v>196</v>
      </c>
      <c r="E151" s="8" t="s">
        <v>197</v>
      </c>
      <c r="F151" s="3">
        <f>50-3-2-1-2-1-3-3-1-1-1-1-4-1-1-2-2-1-1</f>
        <v>19</v>
      </c>
      <c r="G151" s="3" t="s">
        <v>12</v>
      </c>
      <c r="H151" s="35">
        <v>1109.2</v>
      </c>
      <c r="I151" s="5">
        <f t="shared" si="4"/>
        <v>21074.799999999999</v>
      </c>
    </row>
    <row r="152" spans="1:9" x14ac:dyDescent="0.25">
      <c r="A152" s="3">
        <v>141</v>
      </c>
      <c r="B152" s="4">
        <v>44707</v>
      </c>
      <c r="C152" s="4">
        <v>44707</v>
      </c>
      <c r="D152" s="7" t="s">
        <v>196</v>
      </c>
      <c r="E152" s="8" t="s">
        <v>606</v>
      </c>
      <c r="F152" s="3">
        <v>40</v>
      </c>
      <c r="G152" s="3" t="s">
        <v>12</v>
      </c>
      <c r="H152" s="35">
        <v>540.44000000000005</v>
      </c>
      <c r="I152" s="5">
        <f t="shared" si="4"/>
        <v>21617.600000000002</v>
      </c>
    </row>
    <row r="153" spans="1:9" x14ac:dyDescent="0.25">
      <c r="A153" s="3">
        <v>142</v>
      </c>
      <c r="B153" s="4">
        <v>44921</v>
      </c>
      <c r="C153" s="4">
        <v>44921</v>
      </c>
      <c r="D153" s="7" t="s">
        <v>196</v>
      </c>
      <c r="E153" s="8" t="s">
        <v>610</v>
      </c>
      <c r="F153" s="3">
        <v>50</v>
      </c>
      <c r="G153" s="3" t="s">
        <v>12</v>
      </c>
      <c r="H153" s="35">
        <v>743.4</v>
      </c>
      <c r="I153" s="5">
        <f t="shared" si="4"/>
        <v>37170</v>
      </c>
    </row>
    <row r="154" spans="1:9" x14ac:dyDescent="0.25">
      <c r="A154" s="3">
        <v>143</v>
      </c>
      <c r="B154" s="4">
        <v>44533</v>
      </c>
      <c r="C154" s="4">
        <v>44533</v>
      </c>
      <c r="D154" s="7" t="s">
        <v>198</v>
      </c>
      <c r="E154" s="8" t="s">
        <v>199</v>
      </c>
      <c r="F154" s="3">
        <f>25-1-1-1-2-3-1-1-1-1-1-1-2-1-1</f>
        <v>7</v>
      </c>
      <c r="G154" s="3" t="s">
        <v>12</v>
      </c>
      <c r="H154" s="35">
        <v>1433.7</v>
      </c>
      <c r="I154" s="5">
        <f t="shared" si="4"/>
        <v>10035.9</v>
      </c>
    </row>
    <row r="155" spans="1:9" x14ac:dyDescent="0.25">
      <c r="A155" s="3">
        <v>144</v>
      </c>
      <c r="B155" s="4">
        <v>44707</v>
      </c>
      <c r="C155" s="4">
        <v>44707</v>
      </c>
      <c r="D155" s="7" t="s">
        <v>198</v>
      </c>
      <c r="E155" s="8" t="s">
        <v>611</v>
      </c>
      <c r="F155" s="3">
        <v>20</v>
      </c>
      <c r="G155" s="3" t="s">
        <v>12</v>
      </c>
      <c r="H155" s="35">
        <v>469.64</v>
      </c>
      <c r="I155" s="5">
        <f t="shared" si="4"/>
        <v>9392.7999999999993</v>
      </c>
    </row>
    <row r="156" spans="1:9" x14ac:dyDescent="0.25">
      <c r="A156" s="3">
        <v>145</v>
      </c>
      <c r="B156" s="4">
        <v>44921</v>
      </c>
      <c r="C156" s="4">
        <v>44921</v>
      </c>
      <c r="D156" s="7" t="s">
        <v>198</v>
      </c>
      <c r="E156" s="8" t="s">
        <v>603</v>
      </c>
      <c r="F156" s="3">
        <v>25</v>
      </c>
      <c r="G156" s="3" t="s">
        <v>12</v>
      </c>
      <c r="H156" s="35">
        <v>743.4</v>
      </c>
      <c r="I156" s="5">
        <f t="shared" si="4"/>
        <v>18585</v>
      </c>
    </row>
    <row r="157" spans="1:9" x14ac:dyDescent="0.25">
      <c r="A157" s="3">
        <v>146</v>
      </c>
      <c r="B157" s="4">
        <v>44533</v>
      </c>
      <c r="C157" s="4">
        <v>44533</v>
      </c>
      <c r="D157" s="7" t="s">
        <v>200</v>
      </c>
      <c r="E157" s="8" t="s">
        <v>201</v>
      </c>
      <c r="F157" s="3">
        <f>25-1-1-1-2-3-1-1-1-1-1-1-2-1-1</f>
        <v>7</v>
      </c>
      <c r="G157" s="3" t="s">
        <v>12</v>
      </c>
      <c r="H157" s="35">
        <v>1109.2</v>
      </c>
      <c r="I157" s="5">
        <f t="shared" si="4"/>
        <v>7764.4000000000005</v>
      </c>
    </row>
    <row r="158" spans="1:9" x14ac:dyDescent="0.25">
      <c r="A158" s="3">
        <v>147</v>
      </c>
      <c r="B158" s="4">
        <v>44707</v>
      </c>
      <c r="C158" s="4">
        <v>44707</v>
      </c>
      <c r="D158" s="7" t="s">
        <v>200</v>
      </c>
      <c r="E158" s="8" t="s">
        <v>602</v>
      </c>
      <c r="F158" s="3">
        <v>20</v>
      </c>
      <c r="G158" s="3" t="s">
        <v>12</v>
      </c>
      <c r="H158" s="35">
        <v>469.64</v>
      </c>
      <c r="I158" s="5">
        <f t="shared" si="4"/>
        <v>9392.7999999999993</v>
      </c>
    </row>
    <row r="159" spans="1:9" x14ac:dyDescent="0.25">
      <c r="A159" s="3">
        <v>148</v>
      </c>
      <c r="B159" s="4">
        <v>44921</v>
      </c>
      <c r="C159" s="4">
        <v>44921</v>
      </c>
      <c r="D159" s="7" t="s">
        <v>200</v>
      </c>
      <c r="E159" s="8" t="s">
        <v>605</v>
      </c>
      <c r="F159" s="3">
        <v>25</v>
      </c>
      <c r="G159" s="3" t="s">
        <v>12</v>
      </c>
      <c r="H159" s="35">
        <v>743.4</v>
      </c>
      <c r="I159" s="5">
        <f t="shared" si="4"/>
        <v>18585</v>
      </c>
    </row>
    <row r="160" spans="1:9" x14ac:dyDescent="0.25">
      <c r="A160" s="3">
        <v>149</v>
      </c>
      <c r="B160" s="4">
        <v>44533</v>
      </c>
      <c r="C160" s="4">
        <v>44533</v>
      </c>
      <c r="D160" s="7" t="s">
        <v>202</v>
      </c>
      <c r="E160" s="8" t="s">
        <v>604</v>
      </c>
      <c r="F160" s="3">
        <f>25-1-1-1-2-3-1-1-1-1-1-1-2-1-1</f>
        <v>7</v>
      </c>
      <c r="G160" s="3" t="s">
        <v>12</v>
      </c>
      <c r="H160" s="35">
        <v>1109.2</v>
      </c>
      <c r="I160" s="5">
        <f t="shared" si="4"/>
        <v>7764.4000000000005</v>
      </c>
    </row>
    <row r="161" spans="1:9" x14ac:dyDescent="0.25">
      <c r="A161" s="3">
        <v>150</v>
      </c>
      <c r="B161" s="4">
        <v>44707</v>
      </c>
      <c r="C161" s="4">
        <v>44707</v>
      </c>
      <c r="D161" s="7" t="s">
        <v>202</v>
      </c>
      <c r="E161" s="8" t="s">
        <v>601</v>
      </c>
      <c r="F161" s="3">
        <v>20</v>
      </c>
      <c r="G161" s="3" t="s">
        <v>12</v>
      </c>
      <c r="H161" s="35">
        <v>469.64</v>
      </c>
      <c r="I161" s="5">
        <f t="shared" si="4"/>
        <v>9392.7999999999993</v>
      </c>
    </row>
    <row r="162" spans="1:9" x14ac:dyDescent="0.25">
      <c r="A162" s="3">
        <v>151</v>
      </c>
      <c r="B162" s="4">
        <v>44921</v>
      </c>
      <c r="C162" s="4">
        <v>44921</v>
      </c>
      <c r="D162" s="7" t="s">
        <v>202</v>
      </c>
      <c r="E162" s="8" t="s">
        <v>203</v>
      </c>
      <c r="F162" s="3">
        <v>25</v>
      </c>
      <c r="G162" s="3" t="s">
        <v>12</v>
      </c>
      <c r="H162" s="35">
        <v>743.4</v>
      </c>
      <c r="I162" s="5">
        <f>F162*H162</f>
        <v>18585</v>
      </c>
    </row>
    <row r="163" spans="1:9" x14ac:dyDescent="0.25">
      <c r="A163" s="3">
        <v>152</v>
      </c>
      <c r="B163" s="4">
        <v>45268</v>
      </c>
      <c r="C163" s="4">
        <v>45268</v>
      </c>
      <c r="D163" s="7" t="s">
        <v>204</v>
      </c>
      <c r="E163" s="8" t="s">
        <v>205</v>
      </c>
      <c r="F163" s="3">
        <f>42-16-1</f>
        <v>25</v>
      </c>
      <c r="G163" s="3" t="s">
        <v>149</v>
      </c>
      <c r="H163" s="9">
        <v>9882.5</v>
      </c>
      <c r="I163" s="5">
        <f t="shared" ref="I163:I166" si="5">+F163*H163</f>
        <v>247062.5</v>
      </c>
    </row>
    <row r="164" spans="1:9" x14ac:dyDescent="0.25">
      <c r="A164" s="3">
        <v>153</v>
      </c>
      <c r="B164" s="4">
        <v>45268</v>
      </c>
      <c r="C164" s="4">
        <v>45268</v>
      </c>
      <c r="D164" s="7" t="s">
        <v>206</v>
      </c>
      <c r="E164" s="8" t="s">
        <v>207</v>
      </c>
      <c r="F164" s="3">
        <f>20-1-3-5</f>
        <v>11</v>
      </c>
      <c r="G164" s="3" t="s">
        <v>149</v>
      </c>
      <c r="H164" s="9">
        <v>12223.03</v>
      </c>
      <c r="I164" s="5">
        <f t="shared" si="5"/>
        <v>134453.33000000002</v>
      </c>
    </row>
    <row r="165" spans="1:9" x14ac:dyDescent="0.25">
      <c r="A165" s="3">
        <v>154</v>
      </c>
      <c r="B165" s="4">
        <v>45287</v>
      </c>
      <c r="C165" s="4">
        <v>45287</v>
      </c>
      <c r="D165" s="7" t="s">
        <v>204</v>
      </c>
      <c r="E165" s="8" t="s">
        <v>600</v>
      </c>
      <c r="F165" s="3">
        <f>45</f>
        <v>45</v>
      </c>
      <c r="G165" s="3" t="s">
        <v>149</v>
      </c>
      <c r="H165" s="9">
        <v>9882.5</v>
      </c>
      <c r="I165" s="5">
        <f t="shared" si="5"/>
        <v>444712.5</v>
      </c>
    </row>
    <row r="166" spans="1:9" x14ac:dyDescent="0.25">
      <c r="A166" s="3">
        <v>155</v>
      </c>
      <c r="B166" s="4">
        <v>45287</v>
      </c>
      <c r="C166" s="4">
        <v>45287</v>
      </c>
      <c r="D166" s="7" t="s">
        <v>206</v>
      </c>
      <c r="E166" s="8" t="s">
        <v>599</v>
      </c>
      <c r="F166" s="3">
        <f>30-2</f>
        <v>28</v>
      </c>
      <c r="G166" s="3" t="s">
        <v>149</v>
      </c>
      <c r="H166" s="9">
        <v>12223.03</v>
      </c>
      <c r="I166" s="5">
        <f t="shared" si="5"/>
        <v>342244.84</v>
      </c>
    </row>
    <row r="167" spans="1:9" x14ac:dyDescent="0.25">
      <c r="A167" s="1"/>
      <c r="B167" s="1"/>
      <c r="C167" s="1"/>
      <c r="D167" s="1"/>
      <c r="E167" s="1"/>
      <c r="F167" s="1"/>
      <c r="G167" s="1"/>
      <c r="H167" s="71" t="s">
        <v>55</v>
      </c>
      <c r="I167" s="72">
        <f>SUM(I12:I166)</f>
        <v>7405211.1600810625</v>
      </c>
    </row>
    <row r="168" spans="1:9" x14ac:dyDescent="0.25">
      <c r="A168" s="1"/>
      <c r="B168" s="1"/>
      <c r="C168" s="1"/>
      <c r="D168" s="1"/>
      <c r="E168" s="1"/>
      <c r="F168" s="1"/>
      <c r="G168" s="1"/>
      <c r="H168" s="10"/>
      <c r="I168" s="11"/>
    </row>
    <row r="169" spans="1:9" x14ac:dyDescent="0.25">
      <c r="A169" s="1" t="s">
        <v>578</v>
      </c>
      <c r="B169" s="1"/>
      <c r="C169" s="1"/>
      <c r="D169" s="1"/>
      <c r="E169" s="1"/>
      <c r="F169" s="1"/>
      <c r="G169" s="1"/>
      <c r="H169" s="10"/>
      <c r="I169" s="11"/>
    </row>
    <row r="170" spans="1:9" x14ac:dyDescent="0.25">
      <c r="A170" s="1"/>
      <c r="B170" s="1"/>
      <c r="C170" s="1"/>
      <c r="D170" s="1"/>
      <c r="E170" s="1"/>
      <c r="F170" s="1"/>
      <c r="G170" s="1"/>
      <c r="H170" s="10"/>
      <c r="I170" s="11"/>
    </row>
    <row r="172" spans="1:9" ht="15.75" customHeight="1" x14ac:dyDescent="0.25">
      <c r="A172" s="89" t="s">
        <v>240</v>
      </c>
      <c r="B172" s="89"/>
      <c r="C172" s="89"/>
      <c r="D172" s="89"/>
      <c r="E172" s="89"/>
      <c r="F172" s="89"/>
      <c r="G172" s="89"/>
      <c r="H172" s="89"/>
      <c r="I172" s="89"/>
    </row>
    <row r="173" spans="1:9" ht="15" customHeight="1" x14ac:dyDescent="0.25">
      <c r="A173" s="90" t="s">
        <v>241</v>
      </c>
      <c r="B173" s="90"/>
      <c r="C173" s="90"/>
      <c r="D173" s="90"/>
      <c r="E173" s="90"/>
      <c r="F173" s="90"/>
      <c r="G173" s="90"/>
      <c r="H173" s="90"/>
      <c r="I173" s="90"/>
    </row>
    <row r="174" spans="1:9" ht="15.75" x14ac:dyDescent="0.25">
      <c r="A174" s="82" t="s">
        <v>242</v>
      </c>
      <c r="B174" s="82"/>
      <c r="C174" s="82"/>
      <c r="D174" s="82"/>
      <c r="E174" s="82"/>
      <c r="F174" s="82"/>
      <c r="G174" s="82"/>
      <c r="H174" s="82"/>
      <c r="I174" s="82"/>
    </row>
    <row r="175" spans="1:9" x14ac:dyDescent="0.25">
      <c r="B175" s="33" t="s">
        <v>243</v>
      </c>
    </row>
    <row r="176" spans="1:9" x14ac:dyDescent="0.25">
      <c r="B176" s="33" t="s">
        <v>460</v>
      </c>
    </row>
  </sheetData>
  <mergeCells count="8">
    <mergeCell ref="A174:I174"/>
    <mergeCell ref="A7:I7"/>
    <mergeCell ref="A8:I8"/>
    <mergeCell ref="A9:I9"/>
    <mergeCell ref="A10:I10"/>
    <mergeCell ref="F11:G11"/>
    <mergeCell ref="A172:I172"/>
    <mergeCell ref="A173:I173"/>
  </mergeCells>
  <conditionalFormatting sqref="E1:E1048576">
    <cfRule type="duplicateValues" dxfId="3" priority="1"/>
  </conditionalFormatting>
  <pageMargins left="1.0236220472440944" right="0.15748031496062992" top="0.74803149606299213" bottom="0.74803149606299213" header="0.31496062992125984" footer="0.31496062992125984"/>
  <pageSetup scale="75" orientation="landscape" horizontalDpi="0" verticalDpi="0" r:id="rId1"/>
  <rowBreaks count="1" manualBreakCount="1">
    <brk id="10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71"/>
  <sheetViews>
    <sheetView view="pageBreakPreview" topLeftCell="A40" zoomScale="115" zoomScaleNormal="87" zoomScaleSheetLayoutView="115" workbookViewId="0">
      <selection activeCell="A55" sqref="A55:I55"/>
    </sheetView>
  </sheetViews>
  <sheetFormatPr baseColWidth="10" defaultRowHeight="15" x14ac:dyDescent="0.25"/>
  <cols>
    <col min="1" max="1" width="4.140625" style="23" bestFit="1" customWidth="1"/>
    <col min="2" max="2" width="17.140625" style="23" customWidth="1"/>
    <col min="3" max="3" width="12.42578125" style="23" customWidth="1"/>
    <col min="4" max="4" width="14.28515625" style="23" customWidth="1"/>
    <col min="5" max="5" width="49.140625" style="23" customWidth="1"/>
    <col min="6" max="6" width="5" style="23" bestFit="1" customWidth="1"/>
    <col min="7" max="7" width="6" style="23" bestFit="1" customWidth="1"/>
    <col min="8" max="8" width="14.7109375" style="23" customWidth="1"/>
    <col min="9" max="9" width="17" style="23" bestFit="1" customWidth="1"/>
    <col min="10" max="10" width="11.42578125" style="62"/>
    <col min="11" max="22" width="11.42578125" style="22"/>
    <col min="23" max="16384" width="11.42578125" style="23"/>
  </cols>
  <sheetData>
    <row r="7" spans="1:9" x14ac:dyDescent="0.25">
      <c r="A7" s="83" t="s">
        <v>0</v>
      </c>
      <c r="B7" s="83"/>
      <c r="C7" s="83"/>
      <c r="D7" s="83"/>
      <c r="E7" s="83"/>
      <c r="F7" s="83"/>
      <c r="G7" s="83"/>
      <c r="H7" s="83"/>
      <c r="I7" s="83"/>
    </row>
    <row r="8" spans="1:9" ht="18.75" x14ac:dyDescent="0.3">
      <c r="A8" s="84" t="s">
        <v>1</v>
      </c>
      <c r="B8" s="84"/>
      <c r="C8" s="84"/>
      <c r="D8" s="84"/>
      <c r="E8" s="84"/>
      <c r="F8" s="84"/>
      <c r="G8" s="84"/>
      <c r="H8" s="84"/>
      <c r="I8" s="84"/>
    </row>
    <row r="9" spans="1:9" ht="15.75" x14ac:dyDescent="0.25">
      <c r="A9" s="85" t="s">
        <v>239</v>
      </c>
      <c r="B9" s="85"/>
      <c r="C9" s="85"/>
      <c r="D9" s="85"/>
      <c r="E9" s="85"/>
      <c r="F9" s="85"/>
      <c r="G9" s="85"/>
      <c r="H9" s="85"/>
      <c r="I9" s="85"/>
    </row>
    <row r="10" spans="1:9" ht="15.75" x14ac:dyDescent="0.25">
      <c r="A10" s="86" t="s">
        <v>623</v>
      </c>
      <c r="B10" s="86"/>
      <c r="C10" s="86"/>
      <c r="D10" s="86"/>
      <c r="E10" s="86"/>
      <c r="F10" s="86"/>
      <c r="G10" s="86"/>
      <c r="H10" s="86"/>
      <c r="I10" s="86"/>
    </row>
    <row r="11" spans="1:9" ht="38.25" x14ac:dyDescent="0.25">
      <c r="A11" s="39" t="s">
        <v>2</v>
      </c>
      <c r="B11" s="40" t="s">
        <v>3</v>
      </c>
      <c r="C11" s="40" t="s">
        <v>4</v>
      </c>
      <c r="D11" s="41" t="s">
        <v>5</v>
      </c>
      <c r="E11" s="42" t="s">
        <v>6</v>
      </c>
      <c r="F11" s="87" t="s">
        <v>7</v>
      </c>
      <c r="G11" s="88"/>
      <c r="H11" s="43" t="s">
        <v>8</v>
      </c>
      <c r="I11" s="39" t="s">
        <v>9</v>
      </c>
    </row>
    <row r="12" spans="1:9" x14ac:dyDescent="0.25">
      <c r="A12" s="3">
        <v>1</v>
      </c>
      <c r="B12" s="24">
        <v>44271</v>
      </c>
      <c r="C12" s="24">
        <v>44271</v>
      </c>
      <c r="D12" s="7" t="s">
        <v>10</v>
      </c>
      <c r="E12" s="25" t="s">
        <v>11</v>
      </c>
      <c r="F12" s="26">
        <f>35-21</f>
        <v>14</v>
      </c>
      <c r="G12" s="3" t="s">
        <v>12</v>
      </c>
      <c r="H12" s="27">
        <v>28143</v>
      </c>
      <c r="I12" s="28">
        <f t="shared" ref="I12:I46" si="0">F12*H12</f>
        <v>394002</v>
      </c>
    </row>
    <row r="13" spans="1:9" x14ac:dyDescent="0.25">
      <c r="A13" s="26">
        <v>2</v>
      </c>
      <c r="B13" s="24">
        <v>45201</v>
      </c>
      <c r="C13" s="24">
        <v>45201</v>
      </c>
      <c r="D13" s="32" t="s">
        <v>13</v>
      </c>
      <c r="E13" s="25" t="s">
        <v>14</v>
      </c>
      <c r="F13" s="26">
        <f>250-16-11-10</f>
        <v>213</v>
      </c>
      <c r="G13" s="26" t="s">
        <v>12</v>
      </c>
      <c r="H13" s="27">
        <v>2483.9</v>
      </c>
      <c r="I13" s="28">
        <f t="shared" si="0"/>
        <v>529070.70000000007</v>
      </c>
    </row>
    <row r="14" spans="1:9" x14ac:dyDescent="0.25">
      <c r="A14" s="3">
        <v>3</v>
      </c>
      <c r="B14" s="24">
        <v>45287</v>
      </c>
      <c r="C14" s="24">
        <v>45288</v>
      </c>
      <c r="D14" s="7" t="s">
        <v>245</v>
      </c>
      <c r="E14" s="25" t="s">
        <v>16</v>
      </c>
      <c r="F14" s="26">
        <f>32-2-21-5-3</f>
        <v>1</v>
      </c>
      <c r="G14" s="3" t="s">
        <v>12</v>
      </c>
      <c r="H14" s="27">
        <v>1770</v>
      </c>
      <c r="I14" s="28">
        <f t="shared" si="0"/>
        <v>1770</v>
      </c>
    </row>
    <row r="15" spans="1:9" x14ac:dyDescent="0.25">
      <c r="A15" s="26">
        <v>4</v>
      </c>
      <c r="B15" s="24">
        <v>45321</v>
      </c>
      <c r="C15" s="24">
        <v>45321</v>
      </c>
      <c r="D15" s="7" t="s">
        <v>15</v>
      </c>
      <c r="E15" s="25" t="s">
        <v>244</v>
      </c>
      <c r="F15" s="26">
        <f>30-20-5-3</f>
        <v>2</v>
      </c>
      <c r="G15" s="3" t="s">
        <v>12</v>
      </c>
      <c r="H15" s="27">
        <v>4956</v>
      </c>
      <c r="I15" s="28">
        <f t="shared" si="0"/>
        <v>9912</v>
      </c>
    </row>
    <row r="16" spans="1:9" x14ac:dyDescent="0.25">
      <c r="A16" s="3">
        <v>5</v>
      </c>
      <c r="B16" s="24">
        <v>45384</v>
      </c>
      <c r="C16" s="24">
        <v>45384</v>
      </c>
      <c r="D16" s="7" t="s">
        <v>17</v>
      </c>
      <c r="E16" s="25" t="s">
        <v>18</v>
      </c>
      <c r="F16" s="26">
        <f>918-161</f>
        <v>757</v>
      </c>
      <c r="G16" s="3" t="s">
        <v>12</v>
      </c>
      <c r="H16" s="27">
        <f>4140.5+745.29</f>
        <v>4885.79</v>
      </c>
      <c r="I16" s="28">
        <f t="shared" si="0"/>
        <v>3698543.03</v>
      </c>
    </row>
    <row r="17" spans="1:22" x14ac:dyDescent="0.25">
      <c r="A17" s="26">
        <v>6</v>
      </c>
      <c r="B17" s="24">
        <v>45240</v>
      </c>
      <c r="C17" s="24">
        <v>45240</v>
      </c>
      <c r="D17" s="7" t="s">
        <v>19</v>
      </c>
      <c r="E17" s="25" t="s">
        <v>20</v>
      </c>
      <c r="F17" s="26">
        <f>2000-128-427-491-402-183</f>
        <v>369</v>
      </c>
      <c r="G17" s="3" t="s">
        <v>12</v>
      </c>
      <c r="H17" s="27">
        <v>988.25</v>
      </c>
      <c r="I17" s="28">
        <f t="shared" si="0"/>
        <v>364664.25</v>
      </c>
    </row>
    <row r="18" spans="1:22" x14ac:dyDescent="0.25">
      <c r="A18" s="3">
        <v>7</v>
      </c>
      <c r="B18" s="24">
        <v>45422</v>
      </c>
      <c r="C18" s="24">
        <v>45422</v>
      </c>
      <c r="D18" s="7" t="s">
        <v>19</v>
      </c>
      <c r="E18" s="25" t="s">
        <v>504</v>
      </c>
      <c r="F18" s="26">
        <v>1012</v>
      </c>
      <c r="G18" s="3" t="s">
        <v>12</v>
      </c>
      <c r="H18" s="28">
        <v>988.25</v>
      </c>
      <c r="I18" s="28">
        <f t="shared" si="0"/>
        <v>1000109</v>
      </c>
    </row>
    <row r="19" spans="1:22" x14ac:dyDescent="0.25">
      <c r="A19" s="26">
        <v>8</v>
      </c>
      <c r="B19" s="24">
        <v>45422</v>
      </c>
      <c r="C19" s="24">
        <v>45422</v>
      </c>
      <c r="D19" s="7" t="s">
        <v>21</v>
      </c>
      <c r="E19" s="25" t="s">
        <v>505</v>
      </c>
      <c r="F19" s="26">
        <v>75</v>
      </c>
      <c r="G19" s="3" t="s">
        <v>12</v>
      </c>
      <c r="H19" s="28">
        <v>1319.83</v>
      </c>
      <c r="I19" s="28">
        <f t="shared" si="0"/>
        <v>98987.25</v>
      </c>
    </row>
    <row r="20" spans="1:22" s="77" customFormat="1" x14ac:dyDescent="0.25">
      <c r="A20" s="3">
        <v>9</v>
      </c>
      <c r="B20" s="24">
        <v>45457</v>
      </c>
      <c r="C20" s="24">
        <v>45457</v>
      </c>
      <c r="D20" s="7" t="s">
        <v>536</v>
      </c>
      <c r="E20" s="25" t="s">
        <v>537</v>
      </c>
      <c r="F20" s="26">
        <f>394-48</f>
        <v>346</v>
      </c>
      <c r="G20" s="3" t="s">
        <v>12</v>
      </c>
      <c r="H20" s="28">
        <v>4454.5</v>
      </c>
      <c r="I20" s="28">
        <f t="shared" si="0"/>
        <v>1541257</v>
      </c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</row>
    <row r="21" spans="1:22" x14ac:dyDescent="0.25">
      <c r="A21" s="26">
        <v>10</v>
      </c>
      <c r="B21" s="24">
        <v>45422</v>
      </c>
      <c r="C21" s="24">
        <v>45422</v>
      </c>
      <c r="D21" s="7" t="s">
        <v>42</v>
      </c>
      <c r="E21" s="25" t="s">
        <v>493</v>
      </c>
      <c r="F21" s="26">
        <v>440</v>
      </c>
      <c r="G21" s="3" t="s">
        <v>12</v>
      </c>
      <c r="H21" s="28">
        <v>720.51</v>
      </c>
      <c r="I21" s="28">
        <f t="shared" si="0"/>
        <v>317024.40000000002</v>
      </c>
    </row>
    <row r="22" spans="1:22" x14ac:dyDescent="0.25">
      <c r="A22" s="3">
        <v>11</v>
      </c>
      <c r="B22" s="24">
        <v>45433</v>
      </c>
      <c r="C22" s="24">
        <v>45433</v>
      </c>
      <c r="D22" s="7" t="s">
        <v>21</v>
      </c>
      <c r="E22" s="25" t="s">
        <v>506</v>
      </c>
      <c r="F22" s="26">
        <f>250-78</f>
        <v>172</v>
      </c>
      <c r="G22" s="3" t="s">
        <v>12</v>
      </c>
      <c r="H22" s="28">
        <v>1319.83</v>
      </c>
      <c r="I22" s="28">
        <f t="shared" si="0"/>
        <v>227010.75999999998</v>
      </c>
    </row>
    <row r="23" spans="1:22" x14ac:dyDescent="0.25">
      <c r="A23" s="26">
        <v>12</v>
      </c>
      <c r="B23" s="24">
        <v>45433</v>
      </c>
      <c r="C23" s="24">
        <v>45433</v>
      </c>
      <c r="D23" s="7" t="s">
        <v>42</v>
      </c>
      <c r="E23" s="25" t="s">
        <v>494</v>
      </c>
      <c r="F23" s="26">
        <f>618-157</f>
        <v>461</v>
      </c>
      <c r="G23" s="3" t="s">
        <v>12</v>
      </c>
      <c r="H23" s="28">
        <v>720.51</v>
      </c>
      <c r="I23" s="28">
        <f t="shared" si="0"/>
        <v>332155.11</v>
      </c>
    </row>
    <row r="24" spans="1:22" x14ac:dyDescent="0.25">
      <c r="A24" s="3">
        <v>13</v>
      </c>
      <c r="B24" s="24">
        <v>45436</v>
      </c>
      <c r="C24" s="24">
        <v>45436</v>
      </c>
      <c r="D24" s="32" t="s">
        <v>516</v>
      </c>
      <c r="E24" s="54" t="s">
        <v>509</v>
      </c>
      <c r="F24" s="26">
        <f>300-101</f>
        <v>199</v>
      </c>
      <c r="G24" s="26" t="s">
        <v>12</v>
      </c>
      <c r="H24" s="28">
        <v>531</v>
      </c>
      <c r="I24" s="28">
        <f t="shared" si="0"/>
        <v>105669</v>
      </c>
    </row>
    <row r="25" spans="1:22" x14ac:dyDescent="0.25">
      <c r="A25" s="26">
        <v>14</v>
      </c>
      <c r="B25" s="24">
        <v>45436</v>
      </c>
      <c r="C25" s="24">
        <v>45436</v>
      </c>
      <c r="D25" s="32" t="s">
        <v>43</v>
      </c>
      <c r="E25" s="25" t="s">
        <v>507</v>
      </c>
      <c r="F25" s="26">
        <f>1000-294</f>
        <v>706</v>
      </c>
      <c r="G25" s="3" t="s">
        <v>12</v>
      </c>
      <c r="H25" s="48">
        <v>217.06</v>
      </c>
      <c r="I25" s="28">
        <f t="shared" si="0"/>
        <v>153244.36000000002</v>
      </c>
    </row>
    <row r="26" spans="1:22" x14ac:dyDescent="0.25">
      <c r="A26" s="3">
        <v>15</v>
      </c>
      <c r="B26" s="24">
        <v>45436</v>
      </c>
      <c r="C26" s="24">
        <v>45436</v>
      </c>
      <c r="D26" s="32" t="s">
        <v>43</v>
      </c>
      <c r="E26" s="25" t="s">
        <v>508</v>
      </c>
      <c r="F26" s="26">
        <f>920-15</f>
        <v>905</v>
      </c>
      <c r="G26" s="3" t="s">
        <v>12</v>
      </c>
      <c r="H26" s="48">
        <v>224.2</v>
      </c>
      <c r="I26" s="28">
        <f t="shared" si="0"/>
        <v>202901</v>
      </c>
      <c r="J26" s="62">
        <v>2</v>
      </c>
    </row>
    <row r="27" spans="1:22" x14ac:dyDescent="0.25">
      <c r="A27" s="26">
        <v>16</v>
      </c>
      <c r="B27" s="24">
        <v>45436</v>
      </c>
      <c r="C27" s="24">
        <v>45436</v>
      </c>
      <c r="D27" s="32" t="s">
        <v>31</v>
      </c>
      <c r="E27" s="25" t="s">
        <v>515</v>
      </c>
      <c r="F27" s="26">
        <f>1200-106</f>
        <v>1094</v>
      </c>
      <c r="G27" s="3" t="s">
        <v>12</v>
      </c>
      <c r="H27" s="48">
        <v>312.7</v>
      </c>
      <c r="I27" s="28">
        <f t="shared" si="0"/>
        <v>342093.8</v>
      </c>
    </row>
    <row r="28" spans="1:22" x14ac:dyDescent="0.25">
      <c r="A28" s="3">
        <v>17</v>
      </c>
      <c r="B28" s="24">
        <v>45449</v>
      </c>
      <c r="C28" s="24">
        <v>45449</v>
      </c>
      <c r="D28" s="32" t="s">
        <v>533</v>
      </c>
      <c r="E28" s="25" t="s">
        <v>532</v>
      </c>
      <c r="F28" s="26">
        <v>200</v>
      </c>
      <c r="G28" s="3" t="s">
        <v>12</v>
      </c>
      <c r="H28" s="48">
        <v>293.89</v>
      </c>
      <c r="I28" s="28">
        <f t="shared" si="0"/>
        <v>58778</v>
      </c>
    </row>
    <row r="29" spans="1:22" x14ac:dyDescent="0.25">
      <c r="A29" s="26">
        <v>18</v>
      </c>
      <c r="B29" s="24">
        <v>45449</v>
      </c>
      <c r="C29" s="24">
        <v>45449</v>
      </c>
      <c r="D29" s="32" t="s">
        <v>534</v>
      </c>
      <c r="E29" s="25" t="s">
        <v>531</v>
      </c>
      <c r="F29" s="26">
        <v>125</v>
      </c>
      <c r="G29" s="3" t="s">
        <v>12</v>
      </c>
      <c r="H29" s="48">
        <v>60</v>
      </c>
      <c r="I29" s="28">
        <f t="shared" si="0"/>
        <v>7500</v>
      </c>
    </row>
    <row r="30" spans="1:22" ht="24" x14ac:dyDescent="0.25">
      <c r="A30" s="3">
        <v>19</v>
      </c>
      <c r="B30" s="24">
        <v>45436</v>
      </c>
      <c r="C30" s="24">
        <v>45436</v>
      </c>
      <c r="D30" s="32" t="s">
        <v>517</v>
      </c>
      <c r="E30" s="54" t="s">
        <v>510</v>
      </c>
      <c r="F30" s="26">
        <f>600-202</f>
        <v>398</v>
      </c>
      <c r="G30" s="26" t="s">
        <v>12</v>
      </c>
      <c r="H30" s="48">
        <v>1046.07</v>
      </c>
      <c r="I30" s="28">
        <f t="shared" si="0"/>
        <v>416335.86</v>
      </c>
    </row>
    <row r="31" spans="1:22" x14ac:dyDescent="0.25">
      <c r="A31" s="26">
        <v>20</v>
      </c>
      <c r="B31" s="24">
        <v>45398</v>
      </c>
      <c r="C31" s="24">
        <v>45398</v>
      </c>
      <c r="D31" s="7" t="s">
        <v>19</v>
      </c>
      <c r="E31" s="25" t="s">
        <v>20</v>
      </c>
      <c r="F31" s="26">
        <f>210+180+30+297+60+90+14+123+26+54+36+10</f>
        <v>1130</v>
      </c>
      <c r="G31" s="3" t="s">
        <v>12</v>
      </c>
      <c r="H31" s="27">
        <v>988</v>
      </c>
      <c r="I31" s="28">
        <f t="shared" si="0"/>
        <v>1116440</v>
      </c>
    </row>
    <row r="32" spans="1:22" x14ac:dyDescent="0.25">
      <c r="A32" s="3">
        <v>21</v>
      </c>
      <c r="B32" s="24">
        <v>45240</v>
      </c>
      <c r="C32" s="24">
        <v>45240</v>
      </c>
      <c r="D32" s="7" t="s">
        <v>21</v>
      </c>
      <c r="E32" s="25" t="s">
        <v>22</v>
      </c>
      <c r="F32" s="26">
        <f>1150-418+179-287-127-67</f>
        <v>430</v>
      </c>
      <c r="G32" s="3" t="s">
        <v>12</v>
      </c>
      <c r="H32" s="27">
        <v>1319.83</v>
      </c>
      <c r="I32" s="28">
        <f t="shared" si="0"/>
        <v>567526.9</v>
      </c>
    </row>
    <row r="33" spans="1:9" x14ac:dyDescent="0.25">
      <c r="A33" s="26">
        <v>22</v>
      </c>
      <c r="B33" s="24">
        <v>45398</v>
      </c>
      <c r="C33" s="24">
        <v>45398</v>
      </c>
      <c r="D33" s="7" t="s">
        <v>21</v>
      </c>
      <c r="E33" s="25" t="s">
        <v>22</v>
      </c>
      <c r="F33" s="26">
        <f>30+60+90+53+10+7+10</f>
        <v>260</v>
      </c>
      <c r="G33" s="3" t="s">
        <v>12</v>
      </c>
      <c r="H33" s="27">
        <v>1320</v>
      </c>
      <c r="I33" s="28">
        <f t="shared" si="0"/>
        <v>343200</v>
      </c>
    </row>
    <row r="34" spans="1:9" x14ac:dyDescent="0.25">
      <c r="A34" s="3">
        <v>23</v>
      </c>
      <c r="B34" s="24">
        <v>45188</v>
      </c>
      <c r="C34" s="24">
        <v>45188</v>
      </c>
      <c r="D34" s="7" t="s">
        <v>23</v>
      </c>
      <c r="E34" s="25" t="s">
        <v>24</v>
      </c>
      <c r="F34" s="26">
        <f>2000-232-6-130-769-270-347-86-18</f>
        <v>142</v>
      </c>
      <c r="G34" s="3" t="s">
        <v>12</v>
      </c>
      <c r="H34" s="27">
        <v>234.79640000000001</v>
      </c>
      <c r="I34" s="28">
        <f t="shared" si="0"/>
        <v>33341.088799999998</v>
      </c>
    </row>
    <row r="35" spans="1:9" x14ac:dyDescent="0.25">
      <c r="A35" s="26">
        <v>24</v>
      </c>
      <c r="B35" s="24">
        <v>45188</v>
      </c>
      <c r="C35" s="24">
        <v>45188</v>
      </c>
      <c r="D35" s="7" t="s">
        <v>25</v>
      </c>
      <c r="E35" s="25" t="s">
        <v>26</v>
      </c>
      <c r="F35" s="26">
        <f>1000-122-36-48-34-169-22-24-199-2-14</f>
        <v>330</v>
      </c>
      <c r="G35" s="3" t="s">
        <v>12</v>
      </c>
      <c r="H35" s="27">
        <v>207.99860000000001</v>
      </c>
      <c r="I35" s="28">
        <f t="shared" si="0"/>
        <v>68639.538</v>
      </c>
    </row>
    <row r="36" spans="1:9" x14ac:dyDescent="0.25">
      <c r="A36" s="3">
        <v>25</v>
      </c>
      <c r="B36" s="24">
        <v>44729</v>
      </c>
      <c r="C36" s="24">
        <v>44729</v>
      </c>
      <c r="D36" s="7" t="s">
        <v>27</v>
      </c>
      <c r="E36" s="25" t="s">
        <v>28</v>
      </c>
      <c r="F36" s="29">
        <f>297-43-30-10-15-116-1</f>
        <v>82</v>
      </c>
      <c r="G36" s="3" t="s">
        <v>12</v>
      </c>
      <c r="H36" s="27">
        <v>4165.3999999999996</v>
      </c>
      <c r="I36" s="28">
        <f t="shared" si="0"/>
        <v>341562.8</v>
      </c>
    </row>
    <row r="37" spans="1:9" x14ac:dyDescent="0.25">
      <c r="A37" s="26">
        <v>26</v>
      </c>
      <c r="B37" s="24">
        <v>45201</v>
      </c>
      <c r="C37" s="24">
        <v>45201</v>
      </c>
      <c r="D37" s="7" t="s">
        <v>27</v>
      </c>
      <c r="E37" s="25" t="s">
        <v>28</v>
      </c>
      <c r="F37" s="29">
        <v>300</v>
      </c>
      <c r="G37" s="3" t="s">
        <v>12</v>
      </c>
      <c r="H37" s="27">
        <v>4167.9960000000001</v>
      </c>
      <c r="I37" s="28">
        <f t="shared" si="0"/>
        <v>1250398.8</v>
      </c>
    </row>
    <row r="38" spans="1:9" x14ac:dyDescent="0.25">
      <c r="A38" s="3">
        <v>27</v>
      </c>
      <c r="B38" s="24">
        <v>41992</v>
      </c>
      <c r="C38" s="24">
        <v>41992</v>
      </c>
      <c r="D38" s="7" t="s">
        <v>29</v>
      </c>
      <c r="E38" s="25" t="s">
        <v>30</v>
      </c>
      <c r="F38" s="26">
        <f>194-17-2-10-86</f>
        <v>79</v>
      </c>
      <c r="G38" s="3" t="s">
        <v>12</v>
      </c>
      <c r="H38" s="27">
        <v>110</v>
      </c>
      <c r="I38" s="28">
        <f t="shared" si="0"/>
        <v>8690</v>
      </c>
    </row>
    <row r="39" spans="1:9" x14ac:dyDescent="0.25">
      <c r="A39" s="26">
        <v>28</v>
      </c>
      <c r="B39" s="24">
        <v>42362</v>
      </c>
      <c r="C39" s="24">
        <v>42362</v>
      </c>
      <c r="D39" s="7" t="s">
        <v>32</v>
      </c>
      <c r="E39" s="25" t="s">
        <v>33</v>
      </c>
      <c r="F39" s="26">
        <f>844-7-1-2-275-8-8-1-9-148-7</f>
        <v>378</v>
      </c>
      <c r="G39" s="3" t="s">
        <v>12</v>
      </c>
      <c r="H39" s="27">
        <v>100</v>
      </c>
      <c r="I39" s="28">
        <f t="shared" si="0"/>
        <v>37800</v>
      </c>
    </row>
    <row r="40" spans="1:9" x14ac:dyDescent="0.25">
      <c r="A40" s="3">
        <v>29</v>
      </c>
      <c r="B40" s="24">
        <v>45240</v>
      </c>
      <c r="C40" s="24">
        <v>45240</v>
      </c>
      <c r="D40" s="7" t="s">
        <v>32</v>
      </c>
      <c r="E40" s="25" t="s">
        <v>33</v>
      </c>
      <c r="F40" s="26">
        <v>200</v>
      </c>
      <c r="G40" s="3" t="s">
        <v>12</v>
      </c>
      <c r="H40" s="27">
        <v>193.52</v>
      </c>
      <c r="I40" s="28">
        <f t="shared" si="0"/>
        <v>38704</v>
      </c>
    </row>
    <row r="41" spans="1:9" x14ac:dyDescent="0.25">
      <c r="A41" s="26">
        <v>30</v>
      </c>
      <c r="B41" s="24">
        <v>42777</v>
      </c>
      <c r="C41" s="24">
        <v>42777</v>
      </c>
      <c r="D41" s="7" t="s">
        <v>34</v>
      </c>
      <c r="E41" s="25" t="s">
        <v>35</v>
      </c>
      <c r="F41" s="26">
        <f>125-2-4-1-2-2-3-2-1-1-10-1-11-9</f>
        <v>76</v>
      </c>
      <c r="G41" s="3" t="s">
        <v>12</v>
      </c>
      <c r="H41" s="27">
        <v>2400</v>
      </c>
      <c r="I41" s="28">
        <f t="shared" si="0"/>
        <v>182400</v>
      </c>
    </row>
    <row r="42" spans="1:9" x14ac:dyDescent="0.25">
      <c r="A42" s="3">
        <v>31</v>
      </c>
      <c r="B42" s="24">
        <v>45155</v>
      </c>
      <c r="C42" s="24">
        <v>45155</v>
      </c>
      <c r="D42" s="7" t="s">
        <v>34</v>
      </c>
      <c r="E42" s="25" t="s">
        <v>36</v>
      </c>
      <c r="F42" s="26">
        <f>600-562-1-1</f>
        <v>36</v>
      </c>
      <c r="G42" s="3" t="s">
        <v>12</v>
      </c>
      <c r="H42" s="27">
        <v>4047.4</v>
      </c>
      <c r="I42" s="28">
        <f t="shared" si="0"/>
        <v>145706.4</v>
      </c>
    </row>
    <row r="43" spans="1:9" x14ac:dyDescent="0.25">
      <c r="A43" s="26">
        <v>32</v>
      </c>
      <c r="B43" s="24">
        <v>45077</v>
      </c>
      <c r="C43" s="24">
        <v>45077</v>
      </c>
      <c r="D43" s="7" t="s">
        <v>37</v>
      </c>
      <c r="E43" s="25" t="s">
        <v>38</v>
      </c>
      <c r="F43" s="26">
        <f>4100-53-14-746-290-71-64-43-488-195-523-236-99-132</f>
        <v>1146</v>
      </c>
      <c r="G43" s="3" t="s">
        <v>12</v>
      </c>
      <c r="H43" s="27">
        <v>374.06</v>
      </c>
      <c r="I43" s="28">
        <f t="shared" si="0"/>
        <v>428672.76</v>
      </c>
    </row>
    <row r="44" spans="1:9" x14ac:dyDescent="0.25">
      <c r="A44" s="3">
        <v>33</v>
      </c>
      <c r="B44" s="30">
        <v>44538</v>
      </c>
      <c r="C44" s="30">
        <v>44538</v>
      </c>
      <c r="D44" s="31" t="s">
        <v>39</v>
      </c>
      <c r="E44" s="2" t="s">
        <v>40</v>
      </c>
      <c r="F44" s="17">
        <f>650-388-22-9-15-25-39-4</f>
        <v>148</v>
      </c>
      <c r="G44" s="3" t="s">
        <v>12</v>
      </c>
      <c r="H44" s="27">
        <v>808.3</v>
      </c>
      <c r="I44" s="28">
        <f t="shared" si="0"/>
        <v>119628.4</v>
      </c>
    </row>
    <row r="45" spans="1:9" x14ac:dyDescent="0.25">
      <c r="A45" s="26">
        <v>34</v>
      </c>
      <c r="B45" s="30">
        <v>45288</v>
      </c>
      <c r="C45" s="30">
        <v>45288</v>
      </c>
      <c r="D45" s="31" t="s">
        <v>39</v>
      </c>
      <c r="E45" s="2" t="s">
        <v>40</v>
      </c>
      <c r="F45" s="17">
        <f>300-70-30</f>
        <v>200</v>
      </c>
      <c r="G45" s="3" t="s">
        <v>12</v>
      </c>
      <c r="H45" s="27">
        <v>812.9</v>
      </c>
      <c r="I45" s="28">
        <f t="shared" si="0"/>
        <v>162580</v>
      </c>
    </row>
    <row r="46" spans="1:9" x14ac:dyDescent="0.25">
      <c r="A46" s="3">
        <v>35</v>
      </c>
      <c r="B46" s="24">
        <v>45287</v>
      </c>
      <c r="C46" s="24">
        <v>45288</v>
      </c>
      <c r="D46" s="7" t="s">
        <v>42</v>
      </c>
      <c r="E46" s="25" t="s">
        <v>41</v>
      </c>
      <c r="F46" s="26">
        <f>227-48-22-13-119-8</f>
        <v>17</v>
      </c>
      <c r="G46" s="26" t="s">
        <v>12</v>
      </c>
      <c r="H46" s="27">
        <v>4439.9977973568002</v>
      </c>
      <c r="I46" s="28">
        <f t="shared" si="0"/>
        <v>75479.962555065606</v>
      </c>
    </row>
    <row r="47" spans="1:9" x14ac:dyDescent="0.25">
      <c r="A47" s="26">
        <v>36</v>
      </c>
      <c r="B47" s="24">
        <v>45188</v>
      </c>
      <c r="C47" s="24">
        <v>45188</v>
      </c>
      <c r="D47" s="7" t="s">
        <v>43</v>
      </c>
      <c r="E47" s="25" t="s">
        <v>44</v>
      </c>
      <c r="F47" s="17">
        <f>1000-60-26-123-134-121</f>
        <v>536</v>
      </c>
      <c r="G47" s="3" t="s">
        <v>12</v>
      </c>
      <c r="H47" s="27">
        <v>167.14699999999999</v>
      </c>
      <c r="I47" s="28">
        <f>F47*H47</f>
        <v>89590.792000000001</v>
      </c>
    </row>
    <row r="48" spans="1:9" x14ac:dyDescent="0.25">
      <c r="A48" s="3">
        <v>37</v>
      </c>
      <c r="B48" s="24">
        <v>44736</v>
      </c>
      <c r="C48" s="24">
        <v>44736</v>
      </c>
      <c r="D48" s="7" t="s">
        <v>45</v>
      </c>
      <c r="E48" s="25" t="s">
        <v>46</v>
      </c>
      <c r="F48" s="26">
        <f>217.3-43.3-3-30-12-6-5-28</f>
        <v>90</v>
      </c>
      <c r="G48" s="3" t="s">
        <v>47</v>
      </c>
      <c r="H48" s="27">
        <v>5654.2797975100002</v>
      </c>
      <c r="I48" s="28">
        <f>+F48*H48</f>
        <v>508885.18177590001</v>
      </c>
    </row>
    <row r="49" spans="1:22" x14ac:dyDescent="0.25">
      <c r="A49" s="26">
        <v>38</v>
      </c>
      <c r="B49" s="24">
        <v>44714</v>
      </c>
      <c r="C49" s="24">
        <v>44714</v>
      </c>
      <c r="D49" s="7" t="s">
        <v>48</v>
      </c>
      <c r="E49" s="25" t="s">
        <v>49</v>
      </c>
      <c r="F49" s="26">
        <f>625-32-18-20-2-17-17</f>
        <v>519</v>
      </c>
      <c r="G49" s="3" t="s">
        <v>12</v>
      </c>
      <c r="H49" s="27">
        <v>1185.9000000000001</v>
      </c>
      <c r="I49" s="28">
        <f>F49*H49</f>
        <v>615482.10000000009</v>
      </c>
    </row>
    <row r="50" spans="1:22" ht="15" customHeight="1" x14ac:dyDescent="0.25">
      <c r="A50" s="3">
        <v>39</v>
      </c>
      <c r="B50" s="24">
        <v>44714</v>
      </c>
      <c r="C50" s="24">
        <v>44714</v>
      </c>
      <c r="D50" s="32" t="s">
        <v>50</v>
      </c>
      <c r="E50" s="25" t="s">
        <v>51</v>
      </c>
      <c r="F50" s="26">
        <f>625-11-8-2-55-23-20</f>
        <v>506</v>
      </c>
      <c r="G50" s="26" t="s">
        <v>12</v>
      </c>
      <c r="H50" s="27">
        <v>759.92</v>
      </c>
      <c r="I50" s="28">
        <f>F50*H50</f>
        <v>384519.51999999996</v>
      </c>
    </row>
    <row r="51" spans="1:22" x14ac:dyDescent="0.25">
      <c r="A51" s="26">
        <v>40</v>
      </c>
      <c r="B51" s="30">
        <v>45174</v>
      </c>
      <c r="C51" s="30">
        <v>45174</v>
      </c>
      <c r="D51" s="32" t="s">
        <v>52</v>
      </c>
      <c r="E51" s="25" t="s">
        <v>53</v>
      </c>
      <c r="F51" s="17">
        <f>250-1-2-9</f>
        <v>238</v>
      </c>
      <c r="G51" s="26" t="s">
        <v>12</v>
      </c>
      <c r="H51" s="27">
        <v>3050</v>
      </c>
      <c r="I51" s="28">
        <f>F51*H51</f>
        <v>725900</v>
      </c>
    </row>
    <row r="52" spans="1:22" x14ac:dyDescent="0.25">
      <c r="A52" s="3">
        <v>41</v>
      </c>
      <c r="B52" s="30">
        <v>45244</v>
      </c>
      <c r="C52" s="30">
        <v>45244</v>
      </c>
      <c r="D52" s="7" t="s">
        <v>50</v>
      </c>
      <c r="E52" s="25" t="s">
        <v>54</v>
      </c>
      <c r="F52" s="26">
        <f>160-2-50-35-27</f>
        <v>46</v>
      </c>
      <c r="G52" s="3" t="s">
        <v>12</v>
      </c>
      <c r="H52" s="27">
        <v>4377.8</v>
      </c>
      <c r="I52" s="28">
        <f>F52*H52</f>
        <v>201378.80000000002</v>
      </c>
    </row>
    <row r="53" spans="1:22" x14ac:dyDescent="0.25">
      <c r="A53" s="1"/>
      <c r="B53" s="21"/>
      <c r="C53" s="21"/>
      <c r="D53" s="21"/>
      <c r="E53" s="1"/>
      <c r="F53" s="21"/>
      <c r="G53" s="1"/>
      <c r="H53" s="68" t="s">
        <v>55</v>
      </c>
      <c r="I53" s="66">
        <f>SUM(I12:I52)</f>
        <v>17247554.563130967</v>
      </c>
    </row>
    <row r="54" spans="1:22" x14ac:dyDescent="0.25">
      <c r="J54" s="61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5.75" customHeight="1" x14ac:dyDescent="0.25">
      <c r="A55" s="89" t="s">
        <v>240</v>
      </c>
      <c r="B55" s="89"/>
      <c r="C55" s="89"/>
      <c r="D55" s="89"/>
      <c r="E55" s="89"/>
      <c r="F55" s="89"/>
      <c r="G55" s="89"/>
      <c r="H55" s="89"/>
      <c r="I55" s="89"/>
      <c r="J55" s="61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5" customHeight="1" x14ac:dyDescent="0.25">
      <c r="A56" s="90" t="s">
        <v>241</v>
      </c>
      <c r="B56" s="90"/>
      <c r="C56" s="90"/>
      <c r="D56" s="90"/>
      <c r="E56" s="90"/>
      <c r="F56" s="90"/>
      <c r="G56" s="90"/>
      <c r="H56" s="90"/>
      <c r="I56" s="90"/>
      <c r="J56" s="61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5.75" x14ac:dyDescent="0.25">
      <c r="A57" s="82" t="s">
        <v>242</v>
      </c>
      <c r="B57" s="82"/>
      <c r="C57" s="82"/>
      <c r="D57" s="82"/>
      <c r="E57" s="82"/>
      <c r="F57" s="82"/>
      <c r="G57" s="82"/>
      <c r="H57" s="82"/>
      <c r="I57" s="82"/>
      <c r="J57" s="61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25">
      <c r="B58" s="33" t="s">
        <v>243</v>
      </c>
      <c r="J58" s="61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25">
      <c r="B59" s="33" t="s">
        <v>460</v>
      </c>
      <c r="J59" s="61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1" spans="1:22" ht="18.75" x14ac:dyDescent="0.3">
      <c r="E61" s="18"/>
      <c r="F61" s="34"/>
    </row>
    <row r="62" spans="1:22" ht="18.75" x14ac:dyDescent="0.3">
      <c r="E62" s="18"/>
      <c r="F62" s="34"/>
    </row>
    <row r="63" spans="1:22" ht="18.75" x14ac:dyDescent="0.3">
      <c r="E63" s="18"/>
      <c r="F63" s="34"/>
    </row>
    <row r="64" spans="1:22" ht="18.75" x14ac:dyDescent="0.3">
      <c r="E64" s="18"/>
      <c r="F64" s="34"/>
    </row>
    <row r="65" spans="5:6" ht="18.75" x14ac:dyDescent="0.3">
      <c r="E65" s="18"/>
      <c r="F65" s="34"/>
    </row>
    <row r="66" spans="5:6" ht="18.75" x14ac:dyDescent="0.3">
      <c r="E66" s="18"/>
      <c r="F66" s="34"/>
    </row>
    <row r="67" spans="5:6" ht="18.75" x14ac:dyDescent="0.3">
      <c r="E67" s="18"/>
      <c r="F67" s="34"/>
    </row>
    <row r="68" spans="5:6" ht="18.75" x14ac:dyDescent="0.3">
      <c r="E68" s="18"/>
      <c r="F68" s="34"/>
    </row>
    <row r="69" spans="5:6" ht="18.75" x14ac:dyDescent="0.3">
      <c r="E69" s="18"/>
      <c r="F69" s="34"/>
    </row>
    <row r="70" spans="5:6" x14ac:dyDescent="0.25">
      <c r="E70" s="34"/>
      <c r="F70" s="34"/>
    </row>
    <row r="71" spans="5:6" x14ac:dyDescent="0.25">
      <c r="E71" s="34"/>
      <c r="F71" s="34"/>
    </row>
  </sheetData>
  <mergeCells count="8">
    <mergeCell ref="A57:I57"/>
    <mergeCell ref="A56:I56"/>
    <mergeCell ref="A55:I55"/>
    <mergeCell ref="A7:I7"/>
    <mergeCell ref="A8:I8"/>
    <mergeCell ref="A9:I9"/>
    <mergeCell ref="A10:I10"/>
    <mergeCell ref="F11:G11"/>
  </mergeCells>
  <pageMargins left="1.6929133858267718" right="0.23622047244094491" top="0.15748031496062992" bottom="0.74803149606299213" header="0.31496062992125984" footer="0.31496062992125984"/>
  <pageSetup scale="6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8"/>
  <sheetViews>
    <sheetView view="pageBreakPreview" topLeftCell="A22" zoomScaleNormal="100" zoomScaleSheetLayoutView="100" workbookViewId="0">
      <selection activeCell="E42" sqref="E42"/>
    </sheetView>
  </sheetViews>
  <sheetFormatPr baseColWidth="10" defaultRowHeight="15" x14ac:dyDescent="0.25"/>
  <cols>
    <col min="1" max="1" width="4.7109375" style="23" bestFit="1" customWidth="1"/>
    <col min="2" max="3" width="11.85546875" style="23" bestFit="1" customWidth="1"/>
    <col min="4" max="4" width="8.140625" style="23" bestFit="1" customWidth="1"/>
    <col min="5" max="5" width="54.42578125" style="23" bestFit="1" customWidth="1"/>
    <col min="6" max="6" width="4.42578125" style="23" bestFit="1" customWidth="1"/>
    <col min="7" max="7" width="7.28515625" style="23" bestFit="1" customWidth="1"/>
    <col min="8" max="8" width="13.5703125" style="23" bestFit="1" customWidth="1"/>
    <col min="9" max="9" width="14.5703125" style="23" bestFit="1" customWidth="1"/>
    <col min="10" max="16384" width="11.42578125" style="23"/>
  </cols>
  <sheetData>
    <row r="7" spans="1:9" x14ac:dyDescent="0.25">
      <c r="A7" s="91"/>
      <c r="B7" s="91"/>
      <c r="C7" s="91"/>
      <c r="D7" s="91"/>
      <c r="E7" s="91"/>
      <c r="F7" s="91"/>
      <c r="G7" s="91"/>
      <c r="H7" s="91"/>
      <c r="I7" s="91"/>
    </row>
    <row r="8" spans="1:9" ht="21" x14ac:dyDescent="0.35">
      <c r="A8" s="92" t="s">
        <v>1</v>
      </c>
      <c r="B8" s="92"/>
      <c r="C8" s="92"/>
      <c r="D8" s="92"/>
      <c r="E8" s="92"/>
      <c r="F8" s="92"/>
      <c r="G8" s="92"/>
      <c r="H8" s="92"/>
      <c r="I8" s="92"/>
    </row>
    <row r="9" spans="1:9" ht="15.75" x14ac:dyDescent="0.25">
      <c r="A9" s="85" t="s">
        <v>209</v>
      </c>
      <c r="B9" s="85"/>
      <c r="C9" s="85"/>
      <c r="D9" s="85"/>
      <c r="E9" s="85"/>
      <c r="F9" s="85"/>
      <c r="G9" s="85"/>
      <c r="H9" s="85"/>
      <c r="I9" s="85"/>
    </row>
    <row r="10" spans="1:9" ht="15.75" x14ac:dyDescent="0.25">
      <c r="A10" s="86" t="s">
        <v>623</v>
      </c>
      <c r="B10" s="86"/>
      <c r="C10" s="86"/>
      <c r="D10" s="86"/>
      <c r="E10" s="86"/>
      <c r="F10" s="86"/>
      <c r="G10" s="86"/>
      <c r="H10" s="86"/>
      <c r="I10" s="86"/>
    </row>
    <row r="11" spans="1:9" ht="38.25" x14ac:dyDescent="0.25">
      <c r="A11" s="39" t="s">
        <v>58</v>
      </c>
      <c r="B11" s="40" t="s">
        <v>210</v>
      </c>
      <c r="C11" s="40" t="s">
        <v>4</v>
      </c>
      <c r="D11" s="41" t="s">
        <v>5</v>
      </c>
      <c r="E11" s="42" t="s">
        <v>6</v>
      </c>
      <c r="F11" s="87" t="s">
        <v>7</v>
      </c>
      <c r="G11" s="88"/>
      <c r="H11" s="73" t="s">
        <v>522</v>
      </c>
      <c r="I11" s="39" t="s">
        <v>9</v>
      </c>
    </row>
    <row r="12" spans="1:9" ht="15.75" x14ac:dyDescent="0.25">
      <c r="A12" s="12">
        <v>1</v>
      </c>
      <c r="B12" s="13">
        <v>44634</v>
      </c>
      <c r="C12" s="13">
        <v>44634</v>
      </c>
      <c r="D12" s="14" t="s">
        <v>214</v>
      </c>
      <c r="E12" s="16" t="s">
        <v>215</v>
      </c>
      <c r="F12" s="12">
        <f>100-2-11-7-4-15-2-6-5-3-2-9-4-7</f>
        <v>23</v>
      </c>
      <c r="G12" s="12" t="s">
        <v>12</v>
      </c>
      <c r="H12" s="78">
        <v>127.44</v>
      </c>
      <c r="I12" s="15">
        <f t="shared" ref="I12:I38" si="0">F12*H12</f>
        <v>2931.12</v>
      </c>
    </row>
    <row r="13" spans="1:9" ht="15.75" x14ac:dyDescent="0.25">
      <c r="A13" s="12">
        <v>2</v>
      </c>
      <c r="B13" s="13">
        <v>44784</v>
      </c>
      <c r="C13" s="13">
        <v>44784</v>
      </c>
      <c r="D13" s="14" t="s">
        <v>214</v>
      </c>
      <c r="E13" s="16" t="s">
        <v>215</v>
      </c>
      <c r="F13" s="12">
        <v>100</v>
      </c>
      <c r="G13" s="12" t="s">
        <v>12</v>
      </c>
      <c r="H13" s="78">
        <v>151.04</v>
      </c>
      <c r="I13" s="15">
        <f t="shared" si="0"/>
        <v>15104</v>
      </c>
    </row>
    <row r="14" spans="1:9" ht="15.75" x14ac:dyDescent="0.25">
      <c r="A14" s="12">
        <v>3</v>
      </c>
      <c r="B14" s="13">
        <v>45287</v>
      </c>
      <c r="C14" s="13">
        <v>45287</v>
      </c>
      <c r="D14" s="14" t="s">
        <v>216</v>
      </c>
      <c r="E14" s="16" t="s">
        <v>217</v>
      </c>
      <c r="F14" s="12">
        <f>150-59-5-1</f>
        <v>85</v>
      </c>
      <c r="G14" s="12" t="s">
        <v>12</v>
      </c>
      <c r="H14" s="78">
        <v>118</v>
      </c>
      <c r="I14" s="15">
        <f t="shared" si="0"/>
        <v>10030</v>
      </c>
    </row>
    <row r="15" spans="1:9" ht="15.75" x14ac:dyDescent="0.25">
      <c r="A15" s="12">
        <v>4</v>
      </c>
      <c r="B15" s="13">
        <v>45107</v>
      </c>
      <c r="C15" s="13">
        <v>45107</v>
      </c>
      <c r="D15" s="14" t="s">
        <v>220</v>
      </c>
      <c r="E15" s="16" t="s">
        <v>221</v>
      </c>
      <c r="F15" s="12">
        <f>150-1-4-7-1-2-13-23-8-17</f>
        <v>74</v>
      </c>
      <c r="G15" s="12" t="s">
        <v>222</v>
      </c>
      <c r="H15" s="78">
        <v>381.73</v>
      </c>
      <c r="I15" s="15">
        <f t="shared" si="0"/>
        <v>28248.02</v>
      </c>
    </row>
    <row r="16" spans="1:9" ht="15.75" x14ac:dyDescent="0.25">
      <c r="A16" s="12">
        <v>5</v>
      </c>
      <c r="B16" s="13">
        <v>45287</v>
      </c>
      <c r="C16" s="13">
        <v>45287</v>
      </c>
      <c r="D16" s="14" t="s">
        <v>219</v>
      </c>
      <c r="E16" s="16" t="s">
        <v>224</v>
      </c>
      <c r="F16" s="12">
        <f>200-9-26-35-17-37-2</f>
        <v>74</v>
      </c>
      <c r="G16" s="12" t="s">
        <v>12</v>
      </c>
      <c r="H16" s="78">
        <v>129.80000000000001</v>
      </c>
      <c r="I16" s="15">
        <f t="shared" si="0"/>
        <v>9605.2000000000007</v>
      </c>
    </row>
    <row r="17" spans="1:9" ht="15.75" x14ac:dyDescent="0.25">
      <c r="A17" s="12">
        <v>6</v>
      </c>
      <c r="B17" s="13">
        <v>45287</v>
      </c>
      <c r="C17" s="13">
        <v>45287</v>
      </c>
      <c r="D17" s="14" t="s">
        <v>225</v>
      </c>
      <c r="E17" s="16" t="s">
        <v>226</v>
      </c>
      <c r="F17" s="12">
        <f>250-45-68-18-22</f>
        <v>97</v>
      </c>
      <c r="G17" s="12" t="s">
        <v>227</v>
      </c>
      <c r="H17" s="78">
        <v>82.6</v>
      </c>
      <c r="I17" s="15">
        <f t="shared" si="0"/>
        <v>8012.2</v>
      </c>
    </row>
    <row r="18" spans="1:9" ht="15.75" x14ac:dyDescent="0.25">
      <c r="A18" s="12">
        <v>7</v>
      </c>
      <c r="B18" s="13">
        <v>45287</v>
      </c>
      <c r="C18" s="13">
        <v>45287</v>
      </c>
      <c r="D18" s="14" t="s">
        <v>228</v>
      </c>
      <c r="E18" s="16" t="s">
        <v>229</v>
      </c>
      <c r="F18" s="12">
        <f>180-17-44-49-40-23</f>
        <v>7</v>
      </c>
      <c r="G18" s="12" t="s">
        <v>218</v>
      </c>
      <c r="H18" s="78">
        <v>100.3</v>
      </c>
      <c r="I18" s="15">
        <f t="shared" si="0"/>
        <v>702.1</v>
      </c>
    </row>
    <row r="19" spans="1:9" ht="15.75" x14ac:dyDescent="0.25">
      <c r="A19" s="12">
        <v>8</v>
      </c>
      <c r="B19" s="13">
        <v>44784</v>
      </c>
      <c r="C19" s="13">
        <v>44784</v>
      </c>
      <c r="D19" s="14" t="s">
        <v>220</v>
      </c>
      <c r="E19" s="16" t="s">
        <v>231</v>
      </c>
      <c r="F19" s="12">
        <f>100-2-9-8-13-10-4-7-2-17-1</f>
        <v>27</v>
      </c>
      <c r="G19" s="12" t="s">
        <v>218</v>
      </c>
      <c r="H19" s="78">
        <v>348.1</v>
      </c>
      <c r="I19" s="15">
        <f t="shared" si="0"/>
        <v>9398.7000000000007</v>
      </c>
    </row>
    <row r="20" spans="1:9" ht="15.75" x14ac:dyDescent="0.25">
      <c r="A20" s="12">
        <v>9</v>
      </c>
      <c r="B20" s="13">
        <v>44918</v>
      </c>
      <c r="C20" s="13">
        <v>44918</v>
      </c>
      <c r="D20" s="14" t="s">
        <v>220</v>
      </c>
      <c r="E20" s="16" t="s">
        <v>231</v>
      </c>
      <c r="F20" s="12">
        <v>100</v>
      </c>
      <c r="G20" s="12" t="s">
        <v>218</v>
      </c>
      <c r="H20" s="78">
        <v>358.13</v>
      </c>
      <c r="I20" s="15">
        <f t="shared" si="0"/>
        <v>35813</v>
      </c>
    </row>
    <row r="21" spans="1:9" ht="15.75" x14ac:dyDescent="0.25">
      <c r="A21" s="12">
        <v>10</v>
      </c>
      <c r="B21" s="13">
        <v>45422</v>
      </c>
      <c r="C21" s="13">
        <v>45422</v>
      </c>
      <c r="D21" s="14" t="s">
        <v>234</v>
      </c>
      <c r="E21" s="16" t="s">
        <v>492</v>
      </c>
      <c r="F21" s="12">
        <v>50</v>
      </c>
      <c r="G21" s="12" t="s">
        <v>235</v>
      </c>
      <c r="H21" s="78">
        <v>1225</v>
      </c>
      <c r="I21" s="15">
        <f t="shared" si="0"/>
        <v>61250</v>
      </c>
    </row>
    <row r="22" spans="1:9" ht="15.75" x14ac:dyDescent="0.25">
      <c r="A22" s="12">
        <v>11</v>
      </c>
      <c r="B22" s="13">
        <v>45422</v>
      </c>
      <c r="C22" s="13">
        <v>45422</v>
      </c>
      <c r="D22" s="14" t="s">
        <v>572</v>
      </c>
      <c r="E22" s="16" t="s">
        <v>513</v>
      </c>
      <c r="F22" s="12">
        <v>100</v>
      </c>
      <c r="G22" s="12" t="s">
        <v>235</v>
      </c>
      <c r="H22" s="78">
        <v>336.3</v>
      </c>
      <c r="I22" s="15">
        <f t="shared" si="0"/>
        <v>33630</v>
      </c>
    </row>
    <row r="23" spans="1:9" ht="15.75" x14ac:dyDescent="0.25">
      <c r="A23" s="12">
        <v>12</v>
      </c>
      <c r="B23" s="13">
        <v>45422</v>
      </c>
      <c r="C23" s="13">
        <v>45422</v>
      </c>
      <c r="D23" s="14" t="s">
        <v>223</v>
      </c>
      <c r="E23" s="16" t="s">
        <v>514</v>
      </c>
      <c r="F23" s="12">
        <v>200</v>
      </c>
      <c r="G23" s="12" t="s">
        <v>235</v>
      </c>
      <c r="H23" s="78">
        <v>1859.09</v>
      </c>
      <c r="I23" s="15">
        <f t="shared" si="0"/>
        <v>371818</v>
      </c>
    </row>
    <row r="24" spans="1:9" ht="15.75" x14ac:dyDescent="0.25">
      <c r="A24" s="12">
        <v>13</v>
      </c>
      <c r="B24" s="13">
        <v>45422</v>
      </c>
      <c r="C24" s="13">
        <v>45422</v>
      </c>
      <c r="D24" s="14" t="s">
        <v>223</v>
      </c>
      <c r="E24" s="16" t="s">
        <v>514</v>
      </c>
      <c r="F24" s="12">
        <v>300</v>
      </c>
      <c r="G24" s="12" t="s">
        <v>235</v>
      </c>
      <c r="H24" s="78">
        <v>1088.5</v>
      </c>
      <c r="I24" s="15">
        <f t="shared" si="0"/>
        <v>326550</v>
      </c>
    </row>
    <row r="25" spans="1:9" ht="15.75" x14ac:dyDescent="0.25">
      <c r="A25" s="12">
        <v>14</v>
      </c>
      <c r="B25" s="13">
        <v>45287</v>
      </c>
      <c r="C25" s="13">
        <v>45287</v>
      </c>
      <c r="D25" s="14" t="s">
        <v>232</v>
      </c>
      <c r="E25" s="56" t="s">
        <v>233</v>
      </c>
      <c r="F25" s="12">
        <f>296-35-53-34-29-33-51</f>
        <v>61</v>
      </c>
      <c r="G25" s="12" t="s">
        <v>12</v>
      </c>
      <c r="H25" s="78">
        <v>212.4</v>
      </c>
      <c r="I25" s="15">
        <f t="shared" si="0"/>
        <v>12956.4</v>
      </c>
    </row>
    <row r="26" spans="1:9" ht="15.75" x14ac:dyDescent="0.25">
      <c r="A26" s="12">
        <v>15</v>
      </c>
      <c r="B26" s="13">
        <v>45420</v>
      </c>
      <c r="C26" s="13">
        <v>45420</v>
      </c>
      <c r="D26" s="14" t="s">
        <v>212</v>
      </c>
      <c r="E26" s="74" t="s">
        <v>535</v>
      </c>
      <c r="F26" s="17">
        <f>50-3</f>
        <v>47</v>
      </c>
      <c r="G26" s="12" t="s">
        <v>12</v>
      </c>
      <c r="H26" s="79">
        <v>1080.8800000000001</v>
      </c>
      <c r="I26" s="15">
        <f t="shared" si="0"/>
        <v>50801.360000000008</v>
      </c>
    </row>
    <row r="27" spans="1:9" ht="15.75" x14ac:dyDescent="0.25">
      <c r="A27" s="12">
        <v>16</v>
      </c>
      <c r="B27" s="13">
        <v>45420</v>
      </c>
      <c r="C27" s="13">
        <v>45420</v>
      </c>
      <c r="D27" s="14" t="s">
        <v>225</v>
      </c>
      <c r="E27" s="16" t="s">
        <v>481</v>
      </c>
      <c r="F27" s="17">
        <v>250</v>
      </c>
      <c r="G27" s="12" t="s">
        <v>12</v>
      </c>
      <c r="H27" s="79">
        <v>82.6</v>
      </c>
      <c r="I27" s="15">
        <f t="shared" si="0"/>
        <v>20650</v>
      </c>
    </row>
    <row r="28" spans="1:9" ht="15.75" x14ac:dyDescent="0.25">
      <c r="A28" s="12">
        <v>17</v>
      </c>
      <c r="B28" s="13">
        <v>45420</v>
      </c>
      <c r="C28" s="13">
        <v>45420</v>
      </c>
      <c r="D28" s="14" t="s">
        <v>236</v>
      </c>
      <c r="E28" s="16" t="s">
        <v>482</v>
      </c>
      <c r="F28" s="17">
        <f>50-26</f>
        <v>24</v>
      </c>
      <c r="G28" s="12" t="s">
        <v>12</v>
      </c>
      <c r="H28" s="79">
        <v>177</v>
      </c>
      <c r="I28" s="15">
        <f t="shared" si="0"/>
        <v>4248</v>
      </c>
    </row>
    <row r="29" spans="1:9" ht="15.75" x14ac:dyDescent="0.25">
      <c r="A29" s="12">
        <v>18</v>
      </c>
      <c r="B29" s="13">
        <v>45420</v>
      </c>
      <c r="C29" s="13">
        <v>45420</v>
      </c>
      <c r="D29" s="14" t="s">
        <v>236</v>
      </c>
      <c r="E29" s="16" t="s">
        <v>483</v>
      </c>
      <c r="F29" s="17">
        <f>50-2</f>
        <v>48</v>
      </c>
      <c r="G29" s="12" t="s">
        <v>12</v>
      </c>
      <c r="H29" s="79">
        <v>354</v>
      </c>
      <c r="I29" s="15">
        <f t="shared" si="0"/>
        <v>16992</v>
      </c>
    </row>
    <row r="30" spans="1:9" ht="15.75" x14ac:dyDescent="0.25">
      <c r="A30" s="12">
        <v>19</v>
      </c>
      <c r="B30" s="13">
        <v>45420</v>
      </c>
      <c r="C30" s="13">
        <v>45420</v>
      </c>
      <c r="D30" s="14" t="s">
        <v>219</v>
      </c>
      <c r="E30" s="16" t="s">
        <v>484</v>
      </c>
      <c r="F30" s="17">
        <v>150</v>
      </c>
      <c r="G30" s="12" t="s">
        <v>12</v>
      </c>
      <c r="H30" s="80">
        <v>129.80000000000001</v>
      </c>
      <c r="I30" s="15">
        <f t="shared" si="0"/>
        <v>19470</v>
      </c>
    </row>
    <row r="31" spans="1:9" ht="15.75" x14ac:dyDescent="0.25">
      <c r="A31" s="12">
        <v>20</v>
      </c>
      <c r="B31" s="13">
        <v>45420</v>
      </c>
      <c r="C31" s="13">
        <v>45420</v>
      </c>
      <c r="D31" s="14" t="s">
        <v>211</v>
      </c>
      <c r="E31" s="16" t="s">
        <v>485</v>
      </c>
      <c r="F31" s="17">
        <f>150-42-89</f>
        <v>19</v>
      </c>
      <c r="G31" s="12" t="s">
        <v>12</v>
      </c>
      <c r="H31" s="79">
        <v>188.8</v>
      </c>
      <c r="I31" s="15">
        <f t="shared" si="0"/>
        <v>3587.2000000000003</v>
      </c>
    </row>
    <row r="32" spans="1:9" ht="15.75" x14ac:dyDescent="0.25">
      <c r="A32" s="12">
        <v>21</v>
      </c>
      <c r="B32" s="13">
        <v>45420</v>
      </c>
      <c r="C32" s="13">
        <v>45420</v>
      </c>
      <c r="D32" s="14" t="s">
        <v>219</v>
      </c>
      <c r="E32" s="16" t="s">
        <v>486</v>
      </c>
      <c r="F32" s="17">
        <f>185-54-21</f>
        <v>110</v>
      </c>
      <c r="G32" s="12" t="s">
        <v>12</v>
      </c>
      <c r="H32" s="79">
        <v>82.6</v>
      </c>
      <c r="I32" s="15">
        <f t="shared" si="0"/>
        <v>9086</v>
      </c>
    </row>
    <row r="33" spans="1:9" ht="15.75" x14ac:dyDescent="0.25">
      <c r="A33" s="12">
        <v>22</v>
      </c>
      <c r="B33" s="13">
        <v>45420</v>
      </c>
      <c r="C33" s="13">
        <v>45420</v>
      </c>
      <c r="D33" s="14" t="s">
        <v>223</v>
      </c>
      <c r="E33" s="16" t="s">
        <v>487</v>
      </c>
      <c r="F33" s="17">
        <f>250-26-35</f>
        <v>189</v>
      </c>
      <c r="G33" s="12" t="s">
        <v>12</v>
      </c>
      <c r="H33" s="79">
        <v>82.6</v>
      </c>
      <c r="I33" s="15">
        <f t="shared" si="0"/>
        <v>15611.4</v>
      </c>
    </row>
    <row r="34" spans="1:9" ht="15.75" x14ac:dyDescent="0.25">
      <c r="A34" s="12">
        <v>23</v>
      </c>
      <c r="B34" s="13">
        <v>45420</v>
      </c>
      <c r="C34" s="13">
        <v>45420</v>
      </c>
      <c r="D34" s="14" t="s">
        <v>523</v>
      </c>
      <c r="E34" s="16" t="s">
        <v>488</v>
      </c>
      <c r="F34" s="17">
        <v>50</v>
      </c>
      <c r="G34" s="12" t="s">
        <v>12</v>
      </c>
      <c r="H34" s="79">
        <v>450</v>
      </c>
      <c r="I34" s="15">
        <f t="shared" si="0"/>
        <v>22500</v>
      </c>
    </row>
    <row r="35" spans="1:9" ht="15.75" x14ac:dyDescent="0.25">
      <c r="A35" s="12">
        <v>24</v>
      </c>
      <c r="B35" s="13">
        <v>45420</v>
      </c>
      <c r="C35" s="13">
        <v>45420</v>
      </c>
      <c r="D35" s="14" t="s">
        <v>220</v>
      </c>
      <c r="E35" s="16" t="s">
        <v>489</v>
      </c>
      <c r="F35" s="17">
        <v>50</v>
      </c>
      <c r="G35" s="12" t="s">
        <v>12</v>
      </c>
      <c r="H35" s="79">
        <v>212.4</v>
      </c>
      <c r="I35" s="15">
        <f t="shared" si="0"/>
        <v>10620</v>
      </c>
    </row>
    <row r="36" spans="1:9" ht="15.75" x14ac:dyDescent="0.25">
      <c r="A36" s="12">
        <v>25</v>
      </c>
      <c r="B36" s="13">
        <v>45420</v>
      </c>
      <c r="C36" s="13">
        <v>45420</v>
      </c>
      <c r="D36" s="14" t="s">
        <v>232</v>
      </c>
      <c r="E36" s="16" t="s">
        <v>490</v>
      </c>
      <c r="F36" s="17">
        <v>300</v>
      </c>
      <c r="G36" s="12" t="s">
        <v>12</v>
      </c>
      <c r="H36" s="79">
        <v>23.4</v>
      </c>
      <c r="I36" s="15">
        <f t="shared" si="0"/>
        <v>7020</v>
      </c>
    </row>
    <row r="37" spans="1:9" ht="15.75" x14ac:dyDescent="0.25">
      <c r="A37" s="12">
        <v>26</v>
      </c>
      <c r="B37" s="13">
        <v>45420</v>
      </c>
      <c r="C37" s="13">
        <v>45420</v>
      </c>
      <c r="D37" s="14" t="s">
        <v>228</v>
      </c>
      <c r="E37" s="16" t="s">
        <v>491</v>
      </c>
      <c r="F37" s="17">
        <v>150</v>
      </c>
      <c r="G37" s="12" t="s">
        <v>12</v>
      </c>
      <c r="H37" s="79">
        <v>94.4</v>
      </c>
      <c r="I37" s="15">
        <f t="shared" si="0"/>
        <v>14160</v>
      </c>
    </row>
    <row r="38" spans="1:9" ht="15.75" x14ac:dyDescent="0.25">
      <c r="A38" s="12">
        <v>27</v>
      </c>
      <c r="B38" s="13">
        <v>45420</v>
      </c>
      <c r="C38" s="13">
        <v>45420</v>
      </c>
      <c r="D38" s="14" t="s">
        <v>213</v>
      </c>
      <c r="E38" s="16" t="s">
        <v>511</v>
      </c>
      <c r="F38" s="17">
        <f>150-30-7</f>
        <v>113</v>
      </c>
      <c r="G38" s="12" t="s">
        <v>12</v>
      </c>
      <c r="H38" s="79">
        <v>11.8</v>
      </c>
      <c r="I38" s="15">
        <f t="shared" si="0"/>
        <v>1333.4</v>
      </c>
    </row>
    <row r="39" spans="1:9" x14ac:dyDescent="0.25">
      <c r="A39" s="1"/>
      <c r="B39" s="1"/>
      <c r="C39" s="1"/>
      <c r="D39" s="1"/>
      <c r="E39" s="1"/>
      <c r="F39" s="1"/>
      <c r="G39" s="1"/>
      <c r="H39" s="69" t="s">
        <v>573</v>
      </c>
      <c r="I39" s="81">
        <f>SUM(I12:I38)</f>
        <v>1122128.0999999996</v>
      </c>
    </row>
    <row r="40" spans="1:9" x14ac:dyDescent="0.25">
      <c r="A40" s="1"/>
      <c r="B40" s="1"/>
      <c r="C40" s="1"/>
      <c r="D40" s="1"/>
      <c r="E40" s="1"/>
      <c r="F40" s="1"/>
      <c r="G40" s="1"/>
      <c r="H40" s="10"/>
      <c r="I40" s="11"/>
    </row>
    <row r="41" spans="1:9" x14ac:dyDescent="0.25">
      <c r="A41" s="1"/>
      <c r="B41" s="1"/>
      <c r="C41" s="1"/>
      <c r="D41" s="1"/>
      <c r="E41" s="1"/>
      <c r="F41" s="1"/>
      <c r="G41" s="1"/>
      <c r="H41" s="10"/>
      <c r="I41" s="11"/>
    </row>
    <row r="43" spans="1:9" ht="15.75" customHeight="1" x14ac:dyDescent="0.25">
      <c r="A43" s="89" t="s">
        <v>240</v>
      </c>
      <c r="B43" s="89"/>
      <c r="C43" s="89"/>
      <c r="D43" s="89"/>
      <c r="E43" s="89"/>
      <c r="F43" s="89"/>
      <c r="G43" s="89"/>
      <c r="H43" s="89"/>
      <c r="I43" s="89"/>
    </row>
    <row r="44" spans="1:9" ht="15" customHeight="1" x14ac:dyDescent="0.25">
      <c r="A44" s="90" t="s">
        <v>241</v>
      </c>
      <c r="B44" s="90"/>
      <c r="C44" s="90"/>
      <c r="D44" s="90"/>
      <c r="E44" s="90"/>
      <c r="F44" s="90"/>
      <c r="G44" s="90"/>
      <c r="H44" s="90"/>
      <c r="I44" s="90"/>
    </row>
    <row r="45" spans="1:9" ht="15.75" x14ac:dyDescent="0.25">
      <c r="A45" s="82" t="s">
        <v>242</v>
      </c>
      <c r="B45" s="82"/>
      <c r="C45" s="82"/>
      <c r="D45" s="82"/>
      <c r="E45" s="82"/>
      <c r="F45" s="82"/>
      <c r="G45" s="82"/>
      <c r="H45" s="82"/>
      <c r="I45" s="82"/>
    </row>
    <row r="46" spans="1:9" x14ac:dyDescent="0.25">
      <c r="B46" s="33" t="s">
        <v>243</v>
      </c>
    </row>
    <row r="47" spans="1:9" x14ac:dyDescent="0.25">
      <c r="B47" s="33" t="s">
        <v>460</v>
      </c>
    </row>
    <row r="48" spans="1:9" x14ac:dyDescent="0.25">
      <c r="B48" s="33"/>
    </row>
  </sheetData>
  <mergeCells count="8">
    <mergeCell ref="A45:I45"/>
    <mergeCell ref="A7:I7"/>
    <mergeCell ref="A8:I8"/>
    <mergeCell ref="A9:I9"/>
    <mergeCell ref="A10:I10"/>
    <mergeCell ref="F11:G11"/>
    <mergeCell ref="A43:I43"/>
    <mergeCell ref="A44:I44"/>
  </mergeCells>
  <pageMargins left="0.7" right="0.7" top="0.75" bottom="0.75" header="0.3" footer="0.3"/>
  <pageSetup scale="66" orientation="landscape" horizontalDpi="0" verticalDpi="0" r:id="rId1"/>
  <rowBreaks count="1" manualBreakCount="1">
    <brk id="47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6"/>
  <sheetViews>
    <sheetView view="pageBreakPreview" topLeftCell="A7" zoomScaleNormal="100" zoomScaleSheetLayoutView="100" workbookViewId="0">
      <selection activeCell="C18" sqref="C18"/>
    </sheetView>
  </sheetViews>
  <sheetFormatPr baseColWidth="10" defaultRowHeight="15" x14ac:dyDescent="0.25"/>
  <cols>
    <col min="1" max="1" width="5" style="23" bestFit="1" customWidth="1"/>
    <col min="2" max="2" width="18.28515625" style="23" customWidth="1"/>
    <col min="3" max="3" width="16.85546875" style="23" customWidth="1"/>
    <col min="4" max="4" width="8.5703125" style="23" customWidth="1"/>
    <col min="5" max="5" width="28.140625" style="23" customWidth="1"/>
    <col min="6" max="6" width="4.42578125" style="23" bestFit="1" customWidth="1"/>
    <col min="7" max="7" width="7.85546875" style="23" customWidth="1"/>
    <col min="8" max="8" width="13.5703125" style="23" bestFit="1" customWidth="1"/>
    <col min="9" max="9" width="13.7109375" style="23" bestFit="1" customWidth="1"/>
    <col min="10" max="10" width="11.42578125" style="23"/>
    <col min="11" max="18" width="11.42578125" style="22"/>
    <col min="19" max="16384" width="11.42578125" style="23"/>
  </cols>
  <sheetData>
    <row r="6" spans="1:13" x14ac:dyDescent="0.25">
      <c r="A6" s="93"/>
      <c r="B6" s="93"/>
      <c r="C6" s="93"/>
      <c r="D6" s="93"/>
      <c r="E6" s="93"/>
      <c r="F6" s="93"/>
      <c r="G6" s="93"/>
      <c r="H6" s="93"/>
      <c r="I6" s="93"/>
    </row>
    <row r="12" spans="1:13" ht="18.75" x14ac:dyDescent="0.3">
      <c r="A12" s="94" t="s">
        <v>1</v>
      </c>
      <c r="B12" s="94"/>
      <c r="C12" s="94"/>
      <c r="D12" s="94"/>
      <c r="E12" s="94"/>
      <c r="F12" s="94"/>
      <c r="G12" s="94"/>
      <c r="H12" s="94"/>
      <c r="I12" s="94"/>
    </row>
    <row r="13" spans="1:13" ht="15.75" x14ac:dyDescent="0.25">
      <c r="A13" s="85" t="s">
        <v>237</v>
      </c>
      <c r="B13" s="85"/>
      <c r="C13" s="85"/>
      <c r="D13" s="85"/>
      <c r="E13" s="85"/>
      <c r="F13" s="85"/>
      <c r="G13" s="85"/>
      <c r="H13" s="85"/>
      <c r="I13" s="85"/>
    </row>
    <row r="14" spans="1:13" ht="15.75" x14ac:dyDescent="0.25">
      <c r="A14" s="86" t="s">
        <v>623</v>
      </c>
      <c r="B14" s="86"/>
      <c r="C14" s="86"/>
      <c r="D14" s="86"/>
      <c r="E14" s="86"/>
      <c r="F14" s="86"/>
      <c r="G14" s="86"/>
      <c r="H14" s="86"/>
      <c r="I14" s="86"/>
    </row>
    <row r="15" spans="1:13" ht="38.25" x14ac:dyDescent="0.25">
      <c r="A15" s="39" t="s">
        <v>58</v>
      </c>
      <c r="B15" s="40" t="s">
        <v>210</v>
      </c>
      <c r="C15" s="40" t="s">
        <v>4</v>
      </c>
      <c r="D15" s="41" t="s">
        <v>5</v>
      </c>
      <c r="E15" s="42" t="s">
        <v>6</v>
      </c>
      <c r="F15" s="87" t="s">
        <v>7</v>
      </c>
      <c r="G15" s="88"/>
      <c r="H15" s="43" t="s">
        <v>8</v>
      </c>
      <c r="I15" s="39" t="s">
        <v>9</v>
      </c>
    </row>
    <row r="16" spans="1:13" ht="15.75" x14ac:dyDescent="0.25">
      <c r="A16" s="12">
        <v>1</v>
      </c>
      <c r="B16" s="13">
        <v>44183</v>
      </c>
      <c r="C16" s="13">
        <v>44183</v>
      </c>
      <c r="D16" s="57" t="s">
        <v>230</v>
      </c>
      <c r="E16" s="16" t="s">
        <v>238</v>
      </c>
      <c r="F16" s="12">
        <f>435-11-10-11-9-11-2-9-5-3-5-2-1-8-3-1-40-5-14-6-38-10-7-5-8-5-3-5-14-28-1-9-5-54-9-2-17</f>
        <v>59</v>
      </c>
      <c r="G16" s="12" t="s">
        <v>218</v>
      </c>
      <c r="H16" s="15">
        <v>527.46</v>
      </c>
      <c r="I16" s="15">
        <f>+F16*H16</f>
        <v>31120.140000000003</v>
      </c>
      <c r="J16" s="22">
        <v>5</v>
      </c>
      <c r="K16" s="22">
        <v>54</v>
      </c>
      <c r="L16" s="22">
        <f>4+2+1+2</f>
        <v>9</v>
      </c>
      <c r="M16" s="22">
        <v>2</v>
      </c>
    </row>
    <row r="17" spans="1:9" x14ac:dyDescent="0.25">
      <c r="H17" s="69" t="s">
        <v>55</v>
      </c>
      <c r="I17" s="70">
        <f>SUM(I16:I16)</f>
        <v>31120.140000000003</v>
      </c>
    </row>
    <row r="18" spans="1:9" x14ac:dyDescent="0.25">
      <c r="A18" s="1"/>
      <c r="B18" s="1"/>
      <c r="C18" s="1"/>
      <c r="D18" s="1"/>
      <c r="E18" s="1"/>
      <c r="F18" s="1"/>
      <c r="G18" s="1"/>
      <c r="H18" s="10"/>
      <c r="I18" s="11"/>
    </row>
    <row r="19" spans="1:9" x14ac:dyDescent="0.25">
      <c r="A19" s="1"/>
      <c r="B19" s="1"/>
      <c r="C19" s="1"/>
      <c r="D19" s="1"/>
      <c r="E19" s="1"/>
      <c r="F19" s="1"/>
      <c r="G19" s="1"/>
      <c r="H19" s="10"/>
      <c r="I19" s="11"/>
    </row>
    <row r="20" spans="1:9" x14ac:dyDescent="0.25">
      <c r="A20" s="1"/>
      <c r="B20" s="1"/>
      <c r="C20" s="1"/>
      <c r="D20" s="1"/>
      <c r="E20" s="1"/>
      <c r="F20" s="1"/>
      <c r="G20" s="1"/>
      <c r="H20" s="10"/>
      <c r="I20" s="11"/>
    </row>
    <row r="22" spans="1:9" ht="15.75" x14ac:dyDescent="0.25">
      <c r="D22" s="89" t="s">
        <v>240</v>
      </c>
      <c r="E22" s="89"/>
    </row>
    <row r="23" spans="1:9" x14ac:dyDescent="0.25">
      <c r="D23" s="90" t="s">
        <v>241</v>
      </c>
      <c r="E23" s="90"/>
    </row>
    <row r="24" spans="1:9" ht="15.75" x14ac:dyDescent="0.25">
      <c r="A24" s="82" t="s">
        <v>242</v>
      </c>
      <c r="B24" s="82"/>
      <c r="C24" s="82"/>
      <c r="D24" s="82"/>
      <c r="E24" s="82"/>
      <c r="F24" s="82"/>
      <c r="G24" s="82"/>
      <c r="H24" s="82"/>
      <c r="I24" s="82"/>
    </row>
    <row r="25" spans="1:9" x14ac:dyDescent="0.25">
      <c r="B25" s="33" t="s">
        <v>243</v>
      </c>
    </row>
    <row r="26" spans="1:9" x14ac:dyDescent="0.25">
      <c r="B26" s="33" t="s">
        <v>460</v>
      </c>
    </row>
  </sheetData>
  <mergeCells count="8">
    <mergeCell ref="A24:I24"/>
    <mergeCell ref="D23:E23"/>
    <mergeCell ref="D22:E22"/>
    <mergeCell ref="A6:I6"/>
    <mergeCell ref="A12:I12"/>
    <mergeCell ref="A13:I13"/>
    <mergeCell ref="A14:I14"/>
    <mergeCell ref="F15:G15"/>
  </mergeCells>
  <pageMargins left="0.7" right="0.7" top="0.75" bottom="0.75" header="0.3" footer="0.3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139"/>
  <sheetViews>
    <sheetView tabSelected="1" view="pageBreakPreview" topLeftCell="A127" zoomScaleNormal="115" zoomScaleSheetLayoutView="100" workbookViewId="0">
      <selection activeCell="L142" sqref="L141:L142"/>
    </sheetView>
  </sheetViews>
  <sheetFormatPr baseColWidth="10" defaultRowHeight="15" x14ac:dyDescent="0.25"/>
  <cols>
    <col min="1" max="1" width="4.140625" style="23" customWidth="1"/>
    <col min="2" max="2" width="12.85546875" style="23" bestFit="1" customWidth="1"/>
    <col min="3" max="3" width="10.42578125" style="23" bestFit="1" customWidth="1"/>
    <col min="4" max="4" width="11.42578125" style="65"/>
    <col min="5" max="5" width="76.140625" style="52" customWidth="1"/>
    <col min="6" max="6" width="9.7109375" style="23" customWidth="1"/>
    <col min="7" max="7" width="9.85546875" style="23" customWidth="1"/>
    <col min="8" max="8" width="11.85546875" style="51" customWidth="1"/>
    <col min="9" max="9" width="17" style="51" customWidth="1"/>
    <col min="10" max="10" width="11.42578125" style="22"/>
    <col min="11" max="11" width="15.5703125" style="44" bestFit="1" customWidth="1"/>
    <col min="12" max="12" width="15.5703125" style="45" bestFit="1" customWidth="1"/>
    <col min="13" max="17" width="11.42578125" style="44"/>
    <col min="18" max="16384" width="11.42578125" style="23"/>
  </cols>
  <sheetData>
    <row r="7" spans="1:11" x14ac:dyDescent="0.25">
      <c r="A7" s="83" t="s">
        <v>0</v>
      </c>
      <c r="B7" s="83"/>
      <c r="C7" s="83"/>
      <c r="D7" s="83"/>
      <c r="E7" s="83"/>
      <c r="F7" s="83"/>
      <c r="G7" s="83"/>
      <c r="H7" s="83"/>
      <c r="I7" s="83"/>
    </row>
    <row r="8" spans="1:11" ht="18.75" x14ac:dyDescent="0.3">
      <c r="A8" s="84" t="s">
        <v>1</v>
      </c>
      <c r="B8" s="84"/>
      <c r="C8" s="84"/>
      <c r="D8" s="84"/>
      <c r="E8" s="84"/>
      <c r="F8" s="84"/>
      <c r="G8" s="84"/>
      <c r="H8" s="84"/>
      <c r="I8" s="84"/>
    </row>
    <row r="9" spans="1:11" ht="15.75" x14ac:dyDescent="0.25">
      <c r="A9" s="85" t="s">
        <v>465</v>
      </c>
      <c r="B9" s="85"/>
      <c r="C9" s="85"/>
      <c r="D9" s="85"/>
      <c r="E9" s="85"/>
      <c r="F9" s="85"/>
      <c r="G9" s="85"/>
      <c r="H9" s="85"/>
      <c r="I9" s="85"/>
    </row>
    <row r="10" spans="1:11" ht="15.75" x14ac:dyDescent="0.25">
      <c r="A10" s="86" t="s">
        <v>577</v>
      </c>
      <c r="B10" s="86"/>
      <c r="C10" s="86"/>
      <c r="D10" s="86"/>
      <c r="E10" s="86"/>
      <c r="F10" s="86"/>
      <c r="G10" s="86"/>
      <c r="H10" s="86"/>
      <c r="I10" s="86"/>
    </row>
    <row r="11" spans="1:11" ht="38.25" x14ac:dyDescent="0.25">
      <c r="A11" s="39" t="s">
        <v>2</v>
      </c>
      <c r="B11" s="40" t="s">
        <v>3</v>
      </c>
      <c r="C11" s="40" t="s">
        <v>464</v>
      </c>
      <c r="D11" s="64" t="s">
        <v>5</v>
      </c>
      <c r="E11" s="40" t="s">
        <v>530</v>
      </c>
      <c r="F11" s="95" t="s">
        <v>7</v>
      </c>
      <c r="G11" s="96"/>
      <c r="H11" s="87" t="s">
        <v>8</v>
      </c>
      <c r="I11" s="88" t="s">
        <v>9</v>
      </c>
    </row>
    <row r="12" spans="1:11" x14ac:dyDescent="0.25">
      <c r="A12" s="3">
        <v>1</v>
      </c>
      <c r="B12" s="60" t="s">
        <v>404</v>
      </c>
      <c r="C12" s="53" t="s">
        <v>404</v>
      </c>
      <c r="D12" s="32" t="s">
        <v>370</v>
      </c>
      <c r="E12" s="46" t="s">
        <v>336</v>
      </c>
      <c r="F12" s="26">
        <v>5</v>
      </c>
      <c r="G12" s="26" t="s">
        <v>12</v>
      </c>
      <c r="H12" s="47">
        <v>716.85</v>
      </c>
      <c r="I12" s="48">
        <f t="shared" ref="I12:I17" si="0">+H12*F12</f>
        <v>3584.25</v>
      </c>
    </row>
    <row r="13" spans="1:11" x14ac:dyDescent="0.25">
      <c r="A13" s="3">
        <v>2</v>
      </c>
      <c r="B13" s="59">
        <v>45370</v>
      </c>
      <c r="C13" s="53">
        <v>45370</v>
      </c>
      <c r="D13" s="32" t="s">
        <v>315</v>
      </c>
      <c r="E13" s="46" t="s">
        <v>576</v>
      </c>
      <c r="F13" s="26">
        <v>1</v>
      </c>
      <c r="G13" s="26" t="s">
        <v>12</v>
      </c>
      <c r="H13" s="48">
        <v>17572</v>
      </c>
      <c r="I13" s="48">
        <f t="shared" si="0"/>
        <v>17572</v>
      </c>
      <c r="K13" s="44">
        <v>1</v>
      </c>
    </row>
    <row r="14" spans="1:11" x14ac:dyDescent="0.25">
      <c r="A14" s="3">
        <v>3</v>
      </c>
      <c r="B14" s="59" t="s">
        <v>503</v>
      </c>
      <c r="C14" s="53">
        <v>45400</v>
      </c>
      <c r="D14" s="32" t="s">
        <v>316</v>
      </c>
      <c r="E14" s="46" t="s">
        <v>307</v>
      </c>
      <c r="F14" s="26">
        <v>20</v>
      </c>
      <c r="G14" s="26" t="s">
        <v>12</v>
      </c>
      <c r="H14" s="47">
        <v>17556.669999999998</v>
      </c>
      <c r="I14" s="48">
        <f t="shared" si="0"/>
        <v>351133.39999999997</v>
      </c>
    </row>
    <row r="15" spans="1:11" x14ac:dyDescent="0.25">
      <c r="A15" s="3">
        <v>4</v>
      </c>
      <c r="B15" s="59">
        <v>45400</v>
      </c>
      <c r="C15" s="53">
        <v>45400</v>
      </c>
      <c r="D15" s="32" t="s">
        <v>317</v>
      </c>
      <c r="E15" s="46" t="s">
        <v>309</v>
      </c>
      <c r="F15" s="26">
        <v>40</v>
      </c>
      <c r="G15" s="26" t="s">
        <v>12</v>
      </c>
      <c r="H15" s="48">
        <v>18200.32</v>
      </c>
      <c r="I15" s="48">
        <f t="shared" si="0"/>
        <v>728012.80000000005</v>
      </c>
    </row>
    <row r="16" spans="1:11" x14ac:dyDescent="0.25">
      <c r="A16" s="3">
        <v>5</v>
      </c>
      <c r="B16" s="59" t="s">
        <v>404</v>
      </c>
      <c r="C16" s="53" t="s">
        <v>404</v>
      </c>
      <c r="D16" s="32" t="s">
        <v>390</v>
      </c>
      <c r="E16" s="46" t="s">
        <v>352</v>
      </c>
      <c r="F16" s="26">
        <v>70</v>
      </c>
      <c r="G16" s="26" t="s">
        <v>12</v>
      </c>
      <c r="H16" s="48">
        <v>5475.5</v>
      </c>
      <c r="I16" s="48">
        <f t="shared" si="0"/>
        <v>383285</v>
      </c>
    </row>
    <row r="17" spans="1:17" x14ac:dyDescent="0.25">
      <c r="A17" s="3">
        <v>6</v>
      </c>
      <c r="B17" s="59" t="s">
        <v>503</v>
      </c>
      <c r="C17" s="53">
        <v>45400</v>
      </c>
      <c r="D17" s="32" t="s">
        <v>318</v>
      </c>
      <c r="E17" s="46" t="s">
        <v>314</v>
      </c>
      <c r="F17" s="26">
        <v>5</v>
      </c>
      <c r="G17" s="26" t="s">
        <v>12</v>
      </c>
      <c r="H17" s="47">
        <v>19765</v>
      </c>
      <c r="I17" s="48">
        <f t="shared" si="0"/>
        <v>98825</v>
      </c>
    </row>
    <row r="18" spans="1:17" x14ac:dyDescent="0.25">
      <c r="A18" s="3">
        <v>7</v>
      </c>
      <c r="B18" s="59">
        <v>45370</v>
      </c>
      <c r="C18" s="53">
        <v>45370</v>
      </c>
      <c r="D18" s="32" t="s">
        <v>316</v>
      </c>
      <c r="E18" s="46" t="s">
        <v>308</v>
      </c>
      <c r="F18" s="26">
        <f>15-4-6</f>
        <v>5</v>
      </c>
      <c r="G18" s="26" t="s">
        <v>12</v>
      </c>
      <c r="H18" s="47">
        <v>17815.64</v>
      </c>
      <c r="I18" s="48">
        <f t="shared" ref="I18:I19" si="1">+H18*F18</f>
        <v>89078.2</v>
      </c>
      <c r="K18" s="44">
        <v>4</v>
      </c>
    </row>
    <row r="19" spans="1:17" x14ac:dyDescent="0.25">
      <c r="A19" s="3">
        <v>8</v>
      </c>
      <c r="B19" s="59">
        <v>45370</v>
      </c>
      <c r="C19" s="53">
        <v>45370</v>
      </c>
      <c r="D19" s="32" t="s">
        <v>317</v>
      </c>
      <c r="E19" s="46" t="s">
        <v>310</v>
      </c>
      <c r="F19" s="26">
        <v>2</v>
      </c>
      <c r="G19" s="26" t="s">
        <v>12</v>
      </c>
      <c r="H19" s="48">
        <v>13610.12</v>
      </c>
      <c r="I19" s="48">
        <f t="shared" si="1"/>
        <v>27220.240000000002</v>
      </c>
    </row>
    <row r="20" spans="1:17" x14ac:dyDescent="0.25">
      <c r="A20" s="3">
        <v>9</v>
      </c>
      <c r="B20" s="59" t="s">
        <v>404</v>
      </c>
      <c r="C20" s="53" t="s">
        <v>404</v>
      </c>
      <c r="D20" s="32" t="s">
        <v>378</v>
      </c>
      <c r="E20" s="46" t="s">
        <v>344</v>
      </c>
      <c r="F20" s="26">
        <v>68</v>
      </c>
      <c r="G20" s="26" t="s">
        <v>12</v>
      </c>
      <c r="H20" s="47">
        <v>3363</v>
      </c>
      <c r="I20" s="48">
        <f t="shared" ref="I20:I47" si="2">+H20*F20</f>
        <v>228684</v>
      </c>
    </row>
    <row r="21" spans="1:17" x14ac:dyDescent="0.25">
      <c r="A21" s="3">
        <v>10</v>
      </c>
      <c r="B21" s="59" t="s">
        <v>404</v>
      </c>
      <c r="C21" s="53" t="s">
        <v>404</v>
      </c>
      <c r="D21" s="32" t="s">
        <v>379</v>
      </c>
      <c r="E21" s="46" t="s">
        <v>345</v>
      </c>
      <c r="F21" s="26">
        <v>62</v>
      </c>
      <c r="G21" s="26" t="s">
        <v>12</v>
      </c>
      <c r="H21" s="47">
        <v>2891</v>
      </c>
      <c r="I21" s="48">
        <f t="shared" si="2"/>
        <v>179242</v>
      </c>
    </row>
    <row r="22" spans="1:17" x14ac:dyDescent="0.25">
      <c r="A22" s="3">
        <v>11</v>
      </c>
      <c r="B22" s="59" t="s">
        <v>404</v>
      </c>
      <c r="C22" s="53" t="s">
        <v>404</v>
      </c>
      <c r="D22" s="32" t="s">
        <v>387</v>
      </c>
      <c r="E22" s="46" t="s">
        <v>520</v>
      </c>
      <c r="F22" s="26">
        <v>9</v>
      </c>
      <c r="G22" s="26" t="s">
        <v>12</v>
      </c>
      <c r="H22" s="48">
        <v>790.6</v>
      </c>
      <c r="I22" s="48">
        <f t="shared" si="2"/>
        <v>7115.4000000000005</v>
      </c>
    </row>
    <row r="23" spans="1:17" x14ac:dyDescent="0.25">
      <c r="A23" s="3">
        <v>12</v>
      </c>
      <c r="B23" s="59" t="s">
        <v>404</v>
      </c>
      <c r="C23" s="53" t="s">
        <v>404</v>
      </c>
      <c r="D23" s="32" t="s">
        <v>381</v>
      </c>
      <c r="E23" s="46" t="s">
        <v>521</v>
      </c>
      <c r="F23" s="26">
        <v>10</v>
      </c>
      <c r="G23" s="26" t="s">
        <v>12</v>
      </c>
      <c r="H23" s="47">
        <v>813.02</v>
      </c>
      <c r="I23" s="48">
        <f t="shared" si="2"/>
        <v>8130.2</v>
      </c>
    </row>
    <row r="24" spans="1:17" x14ac:dyDescent="0.25">
      <c r="A24" s="3">
        <v>13</v>
      </c>
      <c r="B24" s="59" t="s">
        <v>404</v>
      </c>
      <c r="C24" s="53" t="s">
        <v>404</v>
      </c>
      <c r="D24" s="32" t="s">
        <v>371</v>
      </c>
      <c r="E24" s="46" t="s">
        <v>337</v>
      </c>
      <c r="F24" s="26">
        <v>32</v>
      </c>
      <c r="G24" s="26" t="s">
        <v>12</v>
      </c>
      <c r="H24" s="47">
        <v>469.64</v>
      </c>
      <c r="I24" s="48">
        <f t="shared" si="2"/>
        <v>15028.48</v>
      </c>
    </row>
    <row r="25" spans="1:17" x14ac:dyDescent="0.25">
      <c r="A25" s="3">
        <v>14</v>
      </c>
      <c r="B25" s="59" t="s">
        <v>404</v>
      </c>
      <c r="C25" s="53" t="s">
        <v>404</v>
      </c>
      <c r="D25" s="32" t="s">
        <v>449</v>
      </c>
      <c r="E25" s="46" t="s">
        <v>423</v>
      </c>
      <c r="F25" s="26">
        <v>10</v>
      </c>
      <c r="G25" s="26" t="s">
        <v>12</v>
      </c>
      <c r="H25" s="48">
        <v>5723</v>
      </c>
      <c r="I25" s="48">
        <f t="shared" si="2"/>
        <v>57230</v>
      </c>
    </row>
    <row r="26" spans="1:17" x14ac:dyDescent="0.25">
      <c r="A26" s="3">
        <v>15</v>
      </c>
      <c r="B26" s="60" t="s">
        <v>503</v>
      </c>
      <c r="C26" s="53">
        <v>45400</v>
      </c>
      <c r="D26" s="32" t="s">
        <v>300</v>
      </c>
      <c r="E26" s="46" t="s">
        <v>501</v>
      </c>
      <c r="F26" s="26">
        <v>15</v>
      </c>
      <c r="G26" s="26" t="s">
        <v>12</v>
      </c>
      <c r="H26" s="48">
        <v>17815.64</v>
      </c>
      <c r="I26" s="48">
        <f t="shared" si="2"/>
        <v>267234.59999999998</v>
      </c>
    </row>
    <row r="27" spans="1:17" x14ac:dyDescent="0.25">
      <c r="A27" s="3">
        <v>16</v>
      </c>
      <c r="B27" s="59" t="s">
        <v>503</v>
      </c>
      <c r="C27" s="53">
        <v>45400</v>
      </c>
      <c r="D27" s="32" t="s">
        <v>319</v>
      </c>
      <c r="E27" s="46" t="s">
        <v>502</v>
      </c>
      <c r="F27" s="26">
        <v>5</v>
      </c>
      <c r="G27" s="26" t="s">
        <v>12</v>
      </c>
      <c r="H27" s="47">
        <v>13610.12</v>
      </c>
      <c r="I27" s="48">
        <f t="shared" si="2"/>
        <v>68050.600000000006</v>
      </c>
    </row>
    <row r="28" spans="1:17" x14ac:dyDescent="0.25">
      <c r="A28" s="3">
        <v>17</v>
      </c>
      <c r="B28" s="59" t="s">
        <v>503</v>
      </c>
      <c r="C28" s="53">
        <v>45400</v>
      </c>
      <c r="D28" s="32" t="s">
        <v>296</v>
      </c>
      <c r="E28" s="46" t="s">
        <v>312</v>
      </c>
      <c r="F28" s="26">
        <v>48</v>
      </c>
      <c r="G28" s="26" t="s">
        <v>12</v>
      </c>
      <c r="H28" s="48">
        <v>2211.3200000000002</v>
      </c>
      <c r="I28" s="48">
        <f t="shared" si="2"/>
        <v>106143.36000000002</v>
      </c>
    </row>
    <row r="29" spans="1:17" s="45" customFormat="1" x14ac:dyDescent="0.25">
      <c r="A29" s="3">
        <v>18</v>
      </c>
      <c r="B29" s="59" t="s">
        <v>503</v>
      </c>
      <c r="C29" s="53">
        <v>45400</v>
      </c>
      <c r="D29" s="32" t="s">
        <v>299</v>
      </c>
      <c r="E29" s="46" t="s">
        <v>311</v>
      </c>
      <c r="F29" s="26">
        <v>78</v>
      </c>
      <c r="G29" s="26" t="s">
        <v>12</v>
      </c>
      <c r="H29" s="48">
        <v>3009</v>
      </c>
      <c r="I29" s="48">
        <f t="shared" si="2"/>
        <v>234702</v>
      </c>
      <c r="J29" s="22"/>
      <c r="K29" s="44"/>
      <c r="M29" s="44"/>
      <c r="N29" s="44"/>
      <c r="O29" s="44"/>
      <c r="P29" s="44"/>
      <c r="Q29" s="44"/>
    </row>
    <row r="30" spans="1:17" s="45" customFormat="1" x14ac:dyDescent="0.25">
      <c r="A30" s="3">
        <v>19</v>
      </c>
      <c r="B30" s="59" t="s">
        <v>503</v>
      </c>
      <c r="C30" s="53">
        <v>45400</v>
      </c>
      <c r="D30" s="32" t="s">
        <v>294</v>
      </c>
      <c r="E30" s="46" t="s">
        <v>313</v>
      </c>
      <c r="F30" s="26">
        <v>110</v>
      </c>
      <c r="G30" s="26" t="s">
        <v>12</v>
      </c>
      <c r="H30" s="47">
        <v>3009</v>
      </c>
      <c r="I30" s="48">
        <f t="shared" si="2"/>
        <v>330990</v>
      </c>
      <c r="J30" s="22"/>
      <c r="K30" s="44"/>
      <c r="M30" s="44"/>
      <c r="N30" s="44"/>
      <c r="O30" s="44"/>
      <c r="P30" s="44"/>
      <c r="Q30" s="44"/>
    </row>
    <row r="31" spans="1:17" x14ac:dyDescent="0.25">
      <c r="A31" s="3">
        <v>20</v>
      </c>
      <c r="B31" s="59" t="s">
        <v>404</v>
      </c>
      <c r="C31" s="53" t="s">
        <v>404</v>
      </c>
      <c r="D31" s="32" t="s">
        <v>434</v>
      </c>
      <c r="E31" s="46" t="s">
        <v>408</v>
      </c>
      <c r="F31" s="26">
        <v>57</v>
      </c>
      <c r="G31" s="26" t="s">
        <v>12</v>
      </c>
      <c r="H31" s="47">
        <v>598.58000000000004</v>
      </c>
      <c r="I31" s="48">
        <f t="shared" si="2"/>
        <v>34119.060000000005</v>
      </c>
    </row>
    <row r="32" spans="1:17" x14ac:dyDescent="0.25">
      <c r="A32" s="3">
        <v>21</v>
      </c>
      <c r="B32" s="59" t="s">
        <v>404</v>
      </c>
      <c r="C32" s="53" t="s">
        <v>404</v>
      </c>
      <c r="D32" s="32" t="s">
        <v>435</v>
      </c>
      <c r="E32" s="46" t="s">
        <v>409</v>
      </c>
      <c r="F32" s="26">
        <v>79</v>
      </c>
      <c r="G32" s="26" t="s">
        <v>12</v>
      </c>
      <c r="H32" s="48">
        <v>428.93</v>
      </c>
      <c r="I32" s="48">
        <f t="shared" si="2"/>
        <v>33885.47</v>
      </c>
    </row>
    <row r="33" spans="1:17" s="44" customFormat="1" x14ac:dyDescent="0.25">
      <c r="A33" s="3">
        <v>22</v>
      </c>
      <c r="B33" s="59">
        <v>45417</v>
      </c>
      <c r="C33" s="53">
        <v>45417</v>
      </c>
      <c r="D33" s="32" t="s">
        <v>298</v>
      </c>
      <c r="E33" s="46" t="s">
        <v>500</v>
      </c>
      <c r="F33" s="26">
        <v>96</v>
      </c>
      <c r="G33" s="26" t="s">
        <v>12</v>
      </c>
      <c r="H33" s="47">
        <v>2478</v>
      </c>
      <c r="I33" s="48">
        <f t="shared" si="2"/>
        <v>237888</v>
      </c>
      <c r="J33" s="22"/>
      <c r="L33" s="45"/>
    </row>
    <row r="34" spans="1:17" s="44" customFormat="1" x14ac:dyDescent="0.25">
      <c r="A34" s="3">
        <v>23</v>
      </c>
      <c r="B34" s="59">
        <v>45447</v>
      </c>
      <c r="C34" s="53">
        <v>45447</v>
      </c>
      <c r="D34" s="32" t="s">
        <v>519</v>
      </c>
      <c r="E34" s="46" t="s">
        <v>518</v>
      </c>
      <c r="F34" s="26">
        <f>200-32</f>
        <v>168</v>
      </c>
      <c r="G34" s="26" t="s">
        <v>12</v>
      </c>
      <c r="H34" s="47">
        <v>13190.04</v>
      </c>
      <c r="I34" s="48">
        <f t="shared" si="2"/>
        <v>2215926.7200000002</v>
      </c>
      <c r="J34" s="22"/>
      <c r="L34" s="45"/>
    </row>
    <row r="35" spans="1:17" s="45" customFormat="1" x14ac:dyDescent="0.25">
      <c r="A35" s="3">
        <v>24</v>
      </c>
      <c r="B35" s="59" t="s">
        <v>404</v>
      </c>
      <c r="C35" s="53" t="s">
        <v>404</v>
      </c>
      <c r="D35" s="32" t="s">
        <v>453</v>
      </c>
      <c r="E35" s="46" t="s">
        <v>427</v>
      </c>
      <c r="F35" s="26">
        <v>90</v>
      </c>
      <c r="G35" s="26" t="s">
        <v>12</v>
      </c>
      <c r="H35" s="48">
        <v>512.71</v>
      </c>
      <c r="I35" s="48">
        <f t="shared" si="2"/>
        <v>46143.9</v>
      </c>
      <c r="J35" s="22"/>
      <c r="K35" s="44"/>
      <c r="M35" s="44"/>
      <c r="N35" s="44"/>
      <c r="O35" s="44"/>
      <c r="P35" s="44"/>
      <c r="Q35" s="44"/>
    </row>
    <row r="36" spans="1:17" s="45" customFormat="1" x14ac:dyDescent="0.25">
      <c r="A36" s="3">
        <v>25</v>
      </c>
      <c r="B36" s="59" t="s">
        <v>404</v>
      </c>
      <c r="C36" s="53" t="s">
        <v>404</v>
      </c>
      <c r="D36" s="32" t="s">
        <v>454</v>
      </c>
      <c r="E36" s="46" t="s">
        <v>428</v>
      </c>
      <c r="F36" s="26">
        <v>117</v>
      </c>
      <c r="G36" s="26" t="s">
        <v>12</v>
      </c>
      <c r="H36" s="48">
        <v>728.65</v>
      </c>
      <c r="I36" s="48">
        <f t="shared" si="2"/>
        <v>85252.05</v>
      </c>
      <c r="J36" s="22"/>
      <c r="K36" s="44"/>
      <c r="M36" s="44"/>
      <c r="N36" s="44"/>
      <c r="O36" s="44"/>
      <c r="P36" s="44"/>
      <c r="Q36" s="44"/>
    </row>
    <row r="37" spans="1:17" x14ac:dyDescent="0.25">
      <c r="A37" s="3">
        <v>26</v>
      </c>
      <c r="B37" s="59" t="s">
        <v>404</v>
      </c>
      <c r="C37" s="53" t="s">
        <v>404</v>
      </c>
      <c r="D37" s="32" t="s">
        <v>401</v>
      </c>
      <c r="E37" s="46" t="s">
        <v>365</v>
      </c>
      <c r="F37" s="26">
        <v>5</v>
      </c>
      <c r="G37" s="26" t="s">
        <v>12</v>
      </c>
      <c r="H37" s="47">
        <v>5174.5</v>
      </c>
      <c r="I37" s="48">
        <f t="shared" si="2"/>
        <v>25872.5</v>
      </c>
    </row>
    <row r="38" spans="1:17" x14ac:dyDescent="0.25">
      <c r="A38" s="3">
        <v>27</v>
      </c>
      <c r="B38" s="59" t="s">
        <v>404</v>
      </c>
      <c r="C38" s="53" t="s">
        <v>404</v>
      </c>
      <c r="D38" s="32" t="s">
        <v>437</v>
      </c>
      <c r="E38" s="46" t="s">
        <v>411</v>
      </c>
      <c r="F38" s="26">
        <v>20</v>
      </c>
      <c r="G38" s="26" t="s">
        <v>12</v>
      </c>
      <c r="H38" s="47">
        <v>1392.4</v>
      </c>
      <c r="I38" s="48">
        <f t="shared" si="2"/>
        <v>27848</v>
      </c>
    </row>
    <row r="39" spans="1:17" x14ac:dyDescent="0.25">
      <c r="A39" s="3">
        <v>28</v>
      </c>
      <c r="B39" s="59" t="s">
        <v>404</v>
      </c>
      <c r="C39" s="53" t="s">
        <v>404</v>
      </c>
      <c r="D39" s="32" t="s">
        <v>395</v>
      </c>
      <c r="E39" s="46" t="s">
        <v>359</v>
      </c>
      <c r="F39" s="26">
        <v>50</v>
      </c>
      <c r="G39" s="26" t="s">
        <v>12</v>
      </c>
      <c r="H39" s="48">
        <v>4307</v>
      </c>
      <c r="I39" s="48">
        <f t="shared" si="2"/>
        <v>215350</v>
      </c>
    </row>
    <row r="40" spans="1:17" x14ac:dyDescent="0.25">
      <c r="A40" s="3">
        <v>29</v>
      </c>
      <c r="B40" s="59" t="s">
        <v>404</v>
      </c>
      <c r="C40" s="53" t="s">
        <v>404</v>
      </c>
      <c r="D40" s="32" t="s">
        <v>396</v>
      </c>
      <c r="E40" s="46" t="s">
        <v>360</v>
      </c>
      <c r="F40" s="26">
        <v>30</v>
      </c>
      <c r="G40" s="26" t="s">
        <v>12</v>
      </c>
      <c r="H40" s="47">
        <v>4715</v>
      </c>
      <c r="I40" s="48">
        <f t="shared" si="2"/>
        <v>141450</v>
      </c>
    </row>
    <row r="41" spans="1:17" x14ac:dyDescent="0.25">
      <c r="A41" s="3">
        <v>30</v>
      </c>
      <c r="B41" s="59" t="s">
        <v>404</v>
      </c>
      <c r="C41" s="53" t="s">
        <v>404</v>
      </c>
      <c r="D41" s="32" t="s">
        <v>448</v>
      </c>
      <c r="E41" s="46" t="s">
        <v>422</v>
      </c>
      <c r="F41" s="26">
        <v>50</v>
      </c>
      <c r="G41" s="26" t="s">
        <v>12</v>
      </c>
      <c r="H41" s="47">
        <v>5776.1</v>
      </c>
      <c r="I41" s="48">
        <f t="shared" si="2"/>
        <v>288805</v>
      </c>
    </row>
    <row r="42" spans="1:17" x14ac:dyDescent="0.25">
      <c r="A42" s="3">
        <v>31</v>
      </c>
      <c r="B42" s="59" t="s">
        <v>404</v>
      </c>
      <c r="C42" s="53" t="s">
        <v>404</v>
      </c>
      <c r="D42" s="32" t="s">
        <v>380</v>
      </c>
      <c r="E42" s="46" t="s">
        <v>346</v>
      </c>
      <c r="F42" s="26">
        <v>30</v>
      </c>
      <c r="G42" s="26" t="s">
        <v>12</v>
      </c>
      <c r="H42" s="48">
        <v>5723</v>
      </c>
      <c r="I42" s="48">
        <f t="shared" si="2"/>
        <v>171690</v>
      </c>
    </row>
    <row r="43" spans="1:17" x14ac:dyDescent="0.25">
      <c r="A43" s="3">
        <v>32</v>
      </c>
      <c r="B43" s="59" t="s">
        <v>404</v>
      </c>
      <c r="C43" s="53" t="s">
        <v>404</v>
      </c>
      <c r="D43" s="32" t="s">
        <v>445</v>
      </c>
      <c r="E43" s="46" t="s">
        <v>419</v>
      </c>
      <c r="F43" s="26">
        <v>20</v>
      </c>
      <c r="G43" s="26" t="s">
        <v>12</v>
      </c>
      <c r="H43" s="48">
        <v>1298</v>
      </c>
      <c r="I43" s="48">
        <f t="shared" si="2"/>
        <v>25960</v>
      </c>
    </row>
    <row r="44" spans="1:17" x14ac:dyDescent="0.25">
      <c r="A44" s="3">
        <v>33</v>
      </c>
      <c r="B44" s="59" t="s">
        <v>404</v>
      </c>
      <c r="C44" s="53" t="s">
        <v>404</v>
      </c>
      <c r="D44" s="32" t="s">
        <v>446</v>
      </c>
      <c r="E44" s="46" t="s">
        <v>420</v>
      </c>
      <c r="F44" s="26">
        <v>20</v>
      </c>
      <c r="G44" s="26" t="s">
        <v>12</v>
      </c>
      <c r="H44" s="48">
        <v>1298</v>
      </c>
      <c r="I44" s="48">
        <f t="shared" si="2"/>
        <v>25960</v>
      </c>
    </row>
    <row r="45" spans="1:17" x14ac:dyDescent="0.25">
      <c r="A45" s="3">
        <v>34</v>
      </c>
      <c r="B45" s="59" t="s">
        <v>404</v>
      </c>
      <c r="C45" s="53" t="s">
        <v>404</v>
      </c>
      <c r="D45" s="32" t="s">
        <v>447</v>
      </c>
      <c r="E45" s="46" t="s">
        <v>421</v>
      </c>
      <c r="F45" s="26">
        <v>20</v>
      </c>
      <c r="G45" s="26" t="s">
        <v>12</v>
      </c>
      <c r="H45" s="47">
        <v>1416</v>
      </c>
      <c r="I45" s="48">
        <f t="shared" si="2"/>
        <v>28320</v>
      </c>
    </row>
    <row r="46" spans="1:17" x14ac:dyDescent="0.25">
      <c r="A46" s="3">
        <v>35</v>
      </c>
      <c r="B46" s="59" t="s">
        <v>404</v>
      </c>
      <c r="C46" s="53" t="s">
        <v>404</v>
      </c>
      <c r="D46" s="32" t="s">
        <v>440</v>
      </c>
      <c r="E46" s="46" t="s">
        <v>414</v>
      </c>
      <c r="F46" s="26">
        <v>64</v>
      </c>
      <c r="G46" s="26" t="s">
        <v>12</v>
      </c>
      <c r="H46" s="47">
        <v>1151.0899999999999</v>
      </c>
      <c r="I46" s="48">
        <f t="shared" si="2"/>
        <v>73669.759999999995</v>
      </c>
    </row>
    <row r="47" spans="1:17" x14ac:dyDescent="0.25">
      <c r="A47" s="3">
        <v>36</v>
      </c>
      <c r="B47" s="59" t="s">
        <v>404</v>
      </c>
      <c r="C47" s="53" t="s">
        <v>404</v>
      </c>
      <c r="D47" s="32" t="s">
        <v>367</v>
      </c>
      <c r="E47" s="46" t="s">
        <v>405</v>
      </c>
      <c r="F47" s="26">
        <v>20</v>
      </c>
      <c r="G47" s="26" t="s">
        <v>12</v>
      </c>
      <c r="H47" s="47">
        <v>1268.5</v>
      </c>
      <c r="I47" s="48">
        <f t="shared" si="2"/>
        <v>25370</v>
      </c>
    </row>
    <row r="48" spans="1:17" x14ac:dyDescent="0.25">
      <c r="A48" s="3">
        <v>37</v>
      </c>
      <c r="B48" s="59">
        <v>45345</v>
      </c>
      <c r="C48" s="53">
        <v>45345</v>
      </c>
      <c r="D48" s="32" t="s">
        <v>246</v>
      </c>
      <c r="E48" s="46" t="s">
        <v>247</v>
      </c>
      <c r="F48" s="26">
        <f>18-14-1</f>
        <v>3</v>
      </c>
      <c r="G48" s="26" t="s">
        <v>12</v>
      </c>
      <c r="H48" s="47">
        <v>80830</v>
      </c>
      <c r="I48" s="48">
        <f>F48*H48</f>
        <v>242490</v>
      </c>
      <c r="J48" s="22">
        <v>14</v>
      </c>
    </row>
    <row r="49" spans="1:11" x14ac:dyDescent="0.25">
      <c r="A49" s="3">
        <v>38</v>
      </c>
      <c r="B49" s="59" t="s">
        <v>404</v>
      </c>
      <c r="C49" s="53" t="s">
        <v>404</v>
      </c>
      <c r="D49" s="32" t="s">
        <v>368</v>
      </c>
      <c r="E49" s="46" t="s">
        <v>334</v>
      </c>
      <c r="F49" s="26">
        <v>5</v>
      </c>
      <c r="G49" s="26" t="s">
        <v>12</v>
      </c>
      <c r="H49" s="48">
        <v>4956</v>
      </c>
      <c r="I49" s="48">
        <f t="shared" ref="I49:I58" si="3">+H49*F49</f>
        <v>24780</v>
      </c>
    </row>
    <row r="50" spans="1:11" x14ac:dyDescent="0.25">
      <c r="A50" s="3">
        <v>39</v>
      </c>
      <c r="B50" s="59" t="s">
        <v>404</v>
      </c>
      <c r="C50" s="53" t="s">
        <v>404</v>
      </c>
      <c r="D50" s="32" t="s">
        <v>444</v>
      </c>
      <c r="E50" s="46" t="s">
        <v>418</v>
      </c>
      <c r="F50" s="26">
        <v>16</v>
      </c>
      <c r="G50" s="26" t="s">
        <v>12</v>
      </c>
      <c r="H50" s="47">
        <v>577.37</v>
      </c>
      <c r="I50" s="48">
        <f t="shared" si="3"/>
        <v>9237.92</v>
      </c>
    </row>
    <row r="51" spans="1:11" x14ac:dyDescent="0.25">
      <c r="A51" s="3">
        <v>40</v>
      </c>
      <c r="B51" s="59" t="s">
        <v>404</v>
      </c>
      <c r="C51" s="53" t="s">
        <v>404</v>
      </c>
      <c r="D51" s="32" t="s">
        <v>384</v>
      </c>
      <c r="E51" s="46" t="s">
        <v>349</v>
      </c>
      <c r="F51" s="26">
        <f>10-5</f>
        <v>5</v>
      </c>
      <c r="G51" s="26" t="s">
        <v>12</v>
      </c>
      <c r="H51" s="48">
        <v>3131.72</v>
      </c>
      <c r="I51" s="48">
        <f t="shared" si="3"/>
        <v>15658.599999999999</v>
      </c>
      <c r="K51" s="44">
        <v>5</v>
      </c>
    </row>
    <row r="52" spans="1:11" x14ac:dyDescent="0.25">
      <c r="A52" s="3">
        <v>41</v>
      </c>
      <c r="B52" s="59" t="s">
        <v>404</v>
      </c>
      <c r="C52" s="53" t="s">
        <v>404</v>
      </c>
      <c r="D52" s="32" t="s">
        <v>377</v>
      </c>
      <c r="E52" s="46" t="s">
        <v>343</v>
      </c>
      <c r="F52" s="26">
        <v>20</v>
      </c>
      <c r="G52" s="26" t="s">
        <v>12</v>
      </c>
      <c r="H52" s="48">
        <v>236</v>
      </c>
      <c r="I52" s="48">
        <f t="shared" si="3"/>
        <v>4720</v>
      </c>
    </row>
    <row r="53" spans="1:11" x14ac:dyDescent="0.25">
      <c r="A53" s="3">
        <v>42</v>
      </c>
      <c r="B53" s="59" t="s">
        <v>404</v>
      </c>
      <c r="C53" s="53" t="s">
        <v>404</v>
      </c>
      <c r="D53" s="32" t="s">
        <v>402</v>
      </c>
      <c r="E53" s="46" t="s">
        <v>366</v>
      </c>
      <c r="F53" s="26">
        <v>10</v>
      </c>
      <c r="G53" s="26" t="s">
        <v>12</v>
      </c>
      <c r="H53" s="48">
        <v>3563.6</v>
      </c>
      <c r="I53" s="48">
        <f t="shared" si="3"/>
        <v>35636</v>
      </c>
    </row>
    <row r="54" spans="1:11" ht="15" customHeight="1" x14ac:dyDescent="0.25">
      <c r="A54" s="3">
        <v>43</v>
      </c>
      <c r="B54" s="59" t="s">
        <v>404</v>
      </c>
      <c r="C54" s="53" t="s">
        <v>404</v>
      </c>
      <c r="D54" s="32" t="s">
        <v>372</v>
      </c>
      <c r="E54" s="46" t="s">
        <v>338</v>
      </c>
      <c r="F54" s="26">
        <v>10</v>
      </c>
      <c r="G54" s="26" t="s">
        <v>12</v>
      </c>
      <c r="H54" s="48">
        <v>4088.7</v>
      </c>
      <c r="I54" s="48">
        <f t="shared" si="3"/>
        <v>40887</v>
      </c>
    </row>
    <row r="55" spans="1:11" x14ac:dyDescent="0.25">
      <c r="A55" s="3">
        <v>44</v>
      </c>
      <c r="B55" s="59" t="s">
        <v>404</v>
      </c>
      <c r="C55" s="53" t="s">
        <v>404</v>
      </c>
      <c r="D55" s="32" t="s">
        <v>398</v>
      </c>
      <c r="E55" s="46" t="s">
        <v>362</v>
      </c>
      <c r="F55" s="26">
        <v>15</v>
      </c>
      <c r="G55" s="26" t="s">
        <v>12</v>
      </c>
      <c r="H55" s="48">
        <v>5885</v>
      </c>
      <c r="I55" s="48">
        <f t="shared" si="3"/>
        <v>88275</v>
      </c>
    </row>
    <row r="56" spans="1:11" x14ac:dyDescent="0.25">
      <c r="A56" s="3">
        <v>45</v>
      </c>
      <c r="B56" s="59" t="s">
        <v>404</v>
      </c>
      <c r="C56" s="53" t="s">
        <v>404</v>
      </c>
      <c r="D56" s="32" t="s">
        <v>373</v>
      </c>
      <c r="E56" s="46" t="s">
        <v>339</v>
      </c>
      <c r="F56" s="26">
        <v>10</v>
      </c>
      <c r="G56" s="26" t="s">
        <v>12</v>
      </c>
      <c r="H56" s="48">
        <v>1994.2</v>
      </c>
      <c r="I56" s="48">
        <f t="shared" si="3"/>
        <v>19942</v>
      </c>
    </row>
    <row r="57" spans="1:11" x14ac:dyDescent="0.25">
      <c r="A57" s="3">
        <v>46</v>
      </c>
      <c r="B57" s="59" t="s">
        <v>404</v>
      </c>
      <c r="C57" s="53" t="s">
        <v>404</v>
      </c>
      <c r="D57" s="32" t="s">
        <v>450</v>
      </c>
      <c r="E57" s="46" t="s">
        <v>424</v>
      </c>
      <c r="F57" s="26">
        <f>20-5</f>
        <v>15</v>
      </c>
      <c r="G57" s="26" t="s">
        <v>12</v>
      </c>
      <c r="H57" s="48">
        <v>4220.3999999999996</v>
      </c>
      <c r="I57" s="48">
        <f t="shared" si="3"/>
        <v>63305.999999999993</v>
      </c>
      <c r="K57" s="44">
        <v>5</v>
      </c>
    </row>
    <row r="58" spans="1:11" x14ac:dyDescent="0.25">
      <c r="A58" s="3">
        <v>47</v>
      </c>
      <c r="B58" s="59" t="s">
        <v>404</v>
      </c>
      <c r="C58" s="53" t="s">
        <v>404</v>
      </c>
      <c r="D58" s="32" t="s">
        <v>385</v>
      </c>
      <c r="E58" s="46" t="s">
        <v>350</v>
      </c>
      <c r="F58" s="26">
        <v>20</v>
      </c>
      <c r="G58" s="26" t="s">
        <v>12</v>
      </c>
      <c r="H58" s="47">
        <v>1840.8</v>
      </c>
      <c r="I58" s="48">
        <f t="shared" si="3"/>
        <v>36816</v>
      </c>
    </row>
    <row r="59" spans="1:11" x14ac:dyDescent="0.25">
      <c r="A59" s="3">
        <v>48</v>
      </c>
      <c r="B59" s="59">
        <v>45364</v>
      </c>
      <c r="C59" s="53">
        <v>45364</v>
      </c>
      <c r="D59" s="32" t="s">
        <v>274</v>
      </c>
      <c r="E59" s="46" t="s">
        <v>275</v>
      </c>
      <c r="F59" s="26">
        <f>13-2-2-7</f>
        <v>2</v>
      </c>
      <c r="G59" s="26" t="s">
        <v>12</v>
      </c>
      <c r="H59" s="47">
        <v>6372</v>
      </c>
      <c r="I59" s="48">
        <f t="shared" ref="I59:I103" si="4">F59*H59</f>
        <v>12744</v>
      </c>
      <c r="K59" s="44">
        <f>2+5</f>
        <v>7</v>
      </c>
    </row>
    <row r="60" spans="1:11" x14ac:dyDescent="0.25">
      <c r="A60" s="3">
        <v>49</v>
      </c>
      <c r="B60" s="59">
        <v>45364</v>
      </c>
      <c r="C60" s="53">
        <v>45364</v>
      </c>
      <c r="D60" s="32" t="s">
        <v>280</v>
      </c>
      <c r="E60" s="46" t="s">
        <v>265</v>
      </c>
      <c r="F60" s="26">
        <v>1</v>
      </c>
      <c r="G60" s="26" t="s">
        <v>12</v>
      </c>
      <c r="H60" s="48">
        <v>6962</v>
      </c>
      <c r="I60" s="48">
        <f t="shared" ref="I60:I67" si="5">F60*H60</f>
        <v>6962</v>
      </c>
      <c r="K60" s="44">
        <v>2</v>
      </c>
    </row>
    <row r="61" spans="1:11" x14ac:dyDescent="0.25">
      <c r="A61" s="3">
        <v>50</v>
      </c>
      <c r="B61" s="59">
        <v>45364</v>
      </c>
      <c r="C61" s="53">
        <v>45364</v>
      </c>
      <c r="D61" s="32" t="s">
        <v>281</v>
      </c>
      <c r="E61" s="46" t="s">
        <v>266</v>
      </c>
      <c r="F61" s="26">
        <v>8</v>
      </c>
      <c r="G61" s="26" t="s">
        <v>12</v>
      </c>
      <c r="H61" s="47">
        <v>12862</v>
      </c>
      <c r="I61" s="48">
        <f t="shared" si="5"/>
        <v>102896</v>
      </c>
    </row>
    <row r="62" spans="1:11" x14ac:dyDescent="0.25">
      <c r="A62" s="3">
        <v>51</v>
      </c>
      <c r="B62" s="59">
        <v>45364</v>
      </c>
      <c r="C62" s="53">
        <v>45364</v>
      </c>
      <c r="D62" s="32" t="s">
        <v>282</v>
      </c>
      <c r="E62" s="46" t="s">
        <v>267</v>
      </c>
      <c r="F62" s="26">
        <v>2</v>
      </c>
      <c r="G62" s="26" t="s">
        <v>12</v>
      </c>
      <c r="H62" s="47">
        <v>8142</v>
      </c>
      <c r="I62" s="48">
        <f t="shared" si="5"/>
        <v>16284</v>
      </c>
    </row>
    <row r="63" spans="1:11" x14ac:dyDescent="0.25">
      <c r="A63" s="3">
        <v>52</v>
      </c>
      <c r="B63" s="59">
        <v>45364</v>
      </c>
      <c r="C63" s="53">
        <v>45364</v>
      </c>
      <c r="D63" s="32" t="s">
        <v>283</v>
      </c>
      <c r="E63" s="46" t="s">
        <v>268</v>
      </c>
      <c r="F63" s="26">
        <v>2</v>
      </c>
      <c r="G63" s="26" t="s">
        <v>12</v>
      </c>
      <c r="H63" s="48">
        <v>15222</v>
      </c>
      <c r="I63" s="48">
        <f t="shared" si="5"/>
        <v>30444</v>
      </c>
    </row>
    <row r="64" spans="1:11" ht="17.25" customHeight="1" x14ac:dyDescent="0.25">
      <c r="A64" s="3">
        <v>53</v>
      </c>
      <c r="B64" s="59">
        <v>45364</v>
      </c>
      <c r="C64" s="53">
        <v>45364</v>
      </c>
      <c r="D64" s="32" t="s">
        <v>284</v>
      </c>
      <c r="E64" s="46" t="s">
        <v>269</v>
      </c>
      <c r="F64" s="26">
        <f>13-5-2</f>
        <v>6</v>
      </c>
      <c r="G64" s="26" t="s">
        <v>12</v>
      </c>
      <c r="H64" s="48">
        <v>5310</v>
      </c>
      <c r="I64" s="48">
        <f t="shared" si="5"/>
        <v>31860</v>
      </c>
      <c r="K64" s="44">
        <v>10</v>
      </c>
    </row>
    <row r="65" spans="1:11" x14ac:dyDescent="0.25">
      <c r="A65" s="3">
        <v>54</v>
      </c>
      <c r="B65" s="59">
        <v>45366</v>
      </c>
      <c r="C65" s="53">
        <v>45366</v>
      </c>
      <c r="D65" s="32" t="s">
        <v>285</v>
      </c>
      <c r="E65" s="46" t="s">
        <v>250</v>
      </c>
      <c r="F65" s="26">
        <v>9</v>
      </c>
      <c r="G65" s="26" t="s">
        <v>12</v>
      </c>
      <c r="H65" s="47">
        <v>30090</v>
      </c>
      <c r="I65" s="48">
        <f t="shared" si="5"/>
        <v>270810</v>
      </c>
    </row>
    <row r="66" spans="1:11" x14ac:dyDescent="0.25">
      <c r="A66" s="3">
        <v>55</v>
      </c>
      <c r="B66" s="59">
        <v>45366</v>
      </c>
      <c r="C66" s="53">
        <v>45366</v>
      </c>
      <c r="D66" s="32" t="s">
        <v>286</v>
      </c>
      <c r="E66" s="46" t="s">
        <v>251</v>
      </c>
      <c r="F66" s="26">
        <v>5</v>
      </c>
      <c r="G66" s="26" t="s">
        <v>12</v>
      </c>
      <c r="H66" s="47">
        <v>12862</v>
      </c>
      <c r="I66" s="48">
        <f t="shared" si="5"/>
        <v>64310</v>
      </c>
    </row>
    <row r="67" spans="1:11" x14ac:dyDescent="0.25">
      <c r="A67" s="3">
        <v>56</v>
      </c>
      <c r="B67" s="59">
        <v>45366</v>
      </c>
      <c r="C67" s="53">
        <v>45366</v>
      </c>
      <c r="D67" s="32" t="s">
        <v>287</v>
      </c>
      <c r="E67" s="46" t="s">
        <v>252</v>
      </c>
      <c r="F67" s="26">
        <v>5</v>
      </c>
      <c r="G67" s="26" t="s">
        <v>12</v>
      </c>
      <c r="H67" s="48">
        <v>6490</v>
      </c>
      <c r="I67" s="48">
        <f t="shared" si="5"/>
        <v>32450</v>
      </c>
    </row>
    <row r="68" spans="1:11" x14ac:dyDescent="0.25">
      <c r="A68" s="3">
        <v>57</v>
      </c>
      <c r="B68" s="59" t="s">
        <v>404</v>
      </c>
      <c r="C68" s="53" t="s">
        <v>404</v>
      </c>
      <c r="D68" s="32" t="s">
        <v>386</v>
      </c>
      <c r="E68" s="46" t="s">
        <v>351</v>
      </c>
      <c r="F68" s="26">
        <v>10</v>
      </c>
      <c r="G68" s="26" t="s">
        <v>12</v>
      </c>
      <c r="H68" s="47">
        <v>3157.09</v>
      </c>
      <c r="I68" s="48">
        <f t="shared" ref="I68:I77" si="6">+H68*F68</f>
        <v>31570.9</v>
      </c>
    </row>
    <row r="69" spans="1:11" x14ac:dyDescent="0.25">
      <c r="A69" s="3">
        <v>58</v>
      </c>
      <c r="B69" s="59" t="s">
        <v>404</v>
      </c>
      <c r="C69" s="53" t="s">
        <v>404</v>
      </c>
      <c r="D69" s="32" t="s">
        <v>388</v>
      </c>
      <c r="E69" s="46" t="s">
        <v>353</v>
      </c>
      <c r="F69" s="26">
        <v>20</v>
      </c>
      <c r="G69" s="26" t="s">
        <v>12</v>
      </c>
      <c r="H69" s="47">
        <v>826</v>
      </c>
      <c r="I69" s="48">
        <f t="shared" si="6"/>
        <v>16520</v>
      </c>
    </row>
    <row r="70" spans="1:11" x14ac:dyDescent="0.25">
      <c r="A70" s="3">
        <v>59</v>
      </c>
      <c r="B70" s="59" t="s">
        <v>404</v>
      </c>
      <c r="C70" s="53" t="s">
        <v>404</v>
      </c>
      <c r="D70" s="32" t="s">
        <v>397</v>
      </c>
      <c r="E70" s="46" t="s">
        <v>361</v>
      </c>
      <c r="F70" s="26">
        <v>10</v>
      </c>
      <c r="G70" s="26" t="s">
        <v>12</v>
      </c>
      <c r="H70" s="47">
        <v>2815</v>
      </c>
      <c r="I70" s="48">
        <f t="shared" si="6"/>
        <v>28150</v>
      </c>
    </row>
    <row r="71" spans="1:11" x14ac:dyDescent="0.25">
      <c r="A71" s="3">
        <v>60</v>
      </c>
      <c r="B71" s="59" t="s">
        <v>404</v>
      </c>
      <c r="C71" s="53" t="s">
        <v>404</v>
      </c>
      <c r="D71" s="32" t="s">
        <v>399</v>
      </c>
      <c r="E71" s="46" t="s">
        <v>363</v>
      </c>
      <c r="F71" s="26">
        <v>10</v>
      </c>
      <c r="G71" s="26" t="s">
        <v>12</v>
      </c>
      <c r="H71" s="48">
        <v>1885</v>
      </c>
      <c r="I71" s="48">
        <f t="shared" si="6"/>
        <v>18850</v>
      </c>
    </row>
    <row r="72" spans="1:11" x14ac:dyDescent="0.25">
      <c r="A72" s="3">
        <v>61</v>
      </c>
      <c r="B72" s="59" t="s">
        <v>404</v>
      </c>
      <c r="C72" s="53" t="s">
        <v>404</v>
      </c>
      <c r="D72" s="32" t="s">
        <v>400</v>
      </c>
      <c r="E72" s="46" t="s">
        <v>364</v>
      </c>
      <c r="F72" s="26">
        <v>10</v>
      </c>
      <c r="G72" s="26" t="s">
        <v>12</v>
      </c>
      <c r="H72" s="47">
        <v>2773</v>
      </c>
      <c r="I72" s="48">
        <f t="shared" si="6"/>
        <v>27730</v>
      </c>
    </row>
    <row r="73" spans="1:11" x14ac:dyDescent="0.25">
      <c r="A73" s="3">
        <v>62</v>
      </c>
      <c r="B73" s="59" t="s">
        <v>404</v>
      </c>
      <c r="C73" s="53" t="s">
        <v>404</v>
      </c>
      <c r="D73" s="32" t="s">
        <v>403</v>
      </c>
      <c r="E73" s="46" t="s">
        <v>406</v>
      </c>
      <c r="F73" s="26">
        <v>57</v>
      </c>
      <c r="G73" s="26" t="s">
        <v>12</v>
      </c>
      <c r="H73" s="48">
        <v>3047.94</v>
      </c>
      <c r="I73" s="48">
        <f t="shared" si="6"/>
        <v>173732.58000000002</v>
      </c>
      <c r="K73" s="44">
        <v>10</v>
      </c>
    </row>
    <row r="74" spans="1:11" x14ac:dyDescent="0.25">
      <c r="A74" s="3">
        <v>63</v>
      </c>
      <c r="B74" s="59" t="s">
        <v>404</v>
      </c>
      <c r="C74" s="53" t="s">
        <v>404</v>
      </c>
      <c r="D74" s="32" t="s">
        <v>389</v>
      </c>
      <c r="E74" s="46" t="s">
        <v>354</v>
      </c>
      <c r="F74" s="26">
        <f>25-20</f>
        <v>5</v>
      </c>
      <c r="G74" s="26" t="s">
        <v>12</v>
      </c>
      <c r="H74" s="47">
        <v>5280.5</v>
      </c>
      <c r="I74" s="48">
        <f t="shared" si="6"/>
        <v>26402.5</v>
      </c>
      <c r="K74" s="44">
        <v>20</v>
      </c>
    </row>
    <row r="75" spans="1:11" x14ac:dyDescent="0.25">
      <c r="A75" s="3">
        <v>64</v>
      </c>
      <c r="B75" s="59" t="s">
        <v>404</v>
      </c>
      <c r="C75" s="53" t="s">
        <v>404</v>
      </c>
      <c r="D75" s="32" t="s">
        <v>391</v>
      </c>
      <c r="E75" s="46" t="s">
        <v>355</v>
      </c>
      <c r="F75" s="26">
        <v>20</v>
      </c>
      <c r="G75" s="26" t="s">
        <v>12</v>
      </c>
      <c r="H75" s="48">
        <v>1047.8499999999999</v>
      </c>
      <c r="I75" s="48">
        <f t="shared" si="6"/>
        <v>20957</v>
      </c>
    </row>
    <row r="76" spans="1:11" x14ac:dyDescent="0.25">
      <c r="A76" s="3">
        <v>65</v>
      </c>
      <c r="B76" s="59" t="s">
        <v>404</v>
      </c>
      <c r="C76" s="53" t="s">
        <v>404</v>
      </c>
      <c r="D76" s="32" t="s">
        <v>436</v>
      </c>
      <c r="E76" s="46" t="s">
        <v>410</v>
      </c>
      <c r="F76" s="26">
        <v>80</v>
      </c>
      <c r="G76" s="26" t="s">
        <v>12</v>
      </c>
      <c r="H76" s="48">
        <v>1256.58</v>
      </c>
      <c r="I76" s="48">
        <f t="shared" si="6"/>
        <v>100526.39999999999</v>
      </c>
    </row>
    <row r="77" spans="1:11" x14ac:dyDescent="0.25">
      <c r="A77" s="3">
        <v>66</v>
      </c>
      <c r="B77" s="59" t="s">
        <v>404</v>
      </c>
      <c r="C77" s="53" t="s">
        <v>404</v>
      </c>
      <c r="D77" s="32" t="s">
        <v>438</v>
      </c>
      <c r="E77" s="46" t="s">
        <v>412</v>
      </c>
      <c r="F77" s="26">
        <v>10</v>
      </c>
      <c r="G77" s="26" t="s">
        <v>12</v>
      </c>
      <c r="H77" s="48">
        <v>2779.05</v>
      </c>
      <c r="I77" s="48">
        <f t="shared" si="6"/>
        <v>27790.5</v>
      </c>
    </row>
    <row r="78" spans="1:11" x14ac:dyDescent="0.25">
      <c r="A78" s="3">
        <v>67</v>
      </c>
      <c r="B78" s="59">
        <v>45366</v>
      </c>
      <c r="C78" s="53">
        <v>45366</v>
      </c>
      <c r="D78" s="32" t="s">
        <v>288</v>
      </c>
      <c r="E78" s="46" t="s">
        <v>253</v>
      </c>
      <c r="F78" s="26">
        <v>5</v>
      </c>
      <c r="G78" s="26" t="s">
        <v>12</v>
      </c>
      <c r="H78" s="48">
        <v>6490</v>
      </c>
      <c r="I78" s="48">
        <f>F78*H78</f>
        <v>32450</v>
      </c>
    </row>
    <row r="79" spans="1:11" x14ac:dyDescent="0.25">
      <c r="A79" s="3">
        <v>68</v>
      </c>
      <c r="B79" s="59">
        <v>45366</v>
      </c>
      <c r="C79" s="53">
        <v>45366</v>
      </c>
      <c r="D79" s="32" t="s">
        <v>289</v>
      </c>
      <c r="E79" s="46" t="s">
        <v>290</v>
      </c>
      <c r="F79" s="26">
        <v>5</v>
      </c>
      <c r="G79" s="26" t="s">
        <v>12</v>
      </c>
      <c r="H79" s="47">
        <v>6490</v>
      </c>
      <c r="I79" s="48">
        <f>F79*H79</f>
        <v>32450</v>
      </c>
    </row>
    <row r="80" spans="1:11" x14ac:dyDescent="0.25">
      <c r="A80" s="3">
        <v>69</v>
      </c>
      <c r="B80" s="59">
        <v>45366</v>
      </c>
      <c r="C80" s="53">
        <v>45366</v>
      </c>
      <c r="D80" s="32" t="s">
        <v>296</v>
      </c>
      <c r="E80" s="46" t="s">
        <v>297</v>
      </c>
      <c r="F80" s="26">
        <v>10</v>
      </c>
      <c r="G80" s="26" t="s">
        <v>12</v>
      </c>
      <c r="H80" s="47">
        <v>8962.0059999999994</v>
      </c>
      <c r="I80" s="48">
        <f>F80*H80</f>
        <v>89620.06</v>
      </c>
      <c r="K80" s="44">
        <v>10</v>
      </c>
    </row>
    <row r="81" spans="1:17" x14ac:dyDescent="0.25">
      <c r="A81" s="3">
        <v>70</v>
      </c>
      <c r="B81" s="59">
        <v>45366</v>
      </c>
      <c r="C81" s="53">
        <v>45366</v>
      </c>
      <c r="D81" s="32" t="s">
        <v>298</v>
      </c>
      <c r="E81" s="46" t="s">
        <v>257</v>
      </c>
      <c r="F81" s="26">
        <v>3</v>
      </c>
      <c r="G81" s="26" t="s">
        <v>12</v>
      </c>
      <c r="H81" s="48">
        <v>6962</v>
      </c>
      <c r="I81" s="48">
        <f>F81*H81</f>
        <v>20886</v>
      </c>
    </row>
    <row r="82" spans="1:17" x14ac:dyDescent="0.25">
      <c r="A82" s="3">
        <v>71</v>
      </c>
      <c r="B82" s="59" t="s">
        <v>404</v>
      </c>
      <c r="C82" s="53" t="s">
        <v>404</v>
      </c>
      <c r="D82" s="32" t="s">
        <v>376</v>
      </c>
      <c r="E82" s="46" t="s">
        <v>342</v>
      </c>
      <c r="F82" s="26">
        <v>20</v>
      </c>
      <c r="G82" s="26" t="s">
        <v>12</v>
      </c>
      <c r="H82" s="48">
        <v>4307</v>
      </c>
      <c r="I82" s="48">
        <f>+H82*F82</f>
        <v>86140</v>
      </c>
    </row>
    <row r="83" spans="1:17" x14ac:dyDescent="0.25">
      <c r="A83" s="3">
        <v>72</v>
      </c>
      <c r="B83" s="59" t="s">
        <v>404</v>
      </c>
      <c r="C83" s="53" t="s">
        <v>404</v>
      </c>
      <c r="D83" s="32" t="s">
        <v>383</v>
      </c>
      <c r="E83" s="46" t="s">
        <v>348</v>
      </c>
      <c r="F83" s="26">
        <v>20</v>
      </c>
      <c r="G83" s="26" t="s">
        <v>12</v>
      </c>
      <c r="H83" s="48">
        <v>991.2</v>
      </c>
      <c r="I83" s="48">
        <f>+H83*F83</f>
        <v>19824</v>
      </c>
    </row>
    <row r="84" spans="1:17" x14ac:dyDescent="0.25">
      <c r="A84" s="3">
        <v>73</v>
      </c>
      <c r="B84" s="59" t="s">
        <v>404</v>
      </c>
      <c r="C84" s="53" t="s">
        <v>404</v>
      </c>
      <c r="D84" s="32" t="s">
        <v>441</v>
      </c>
      <c r="E84" s="46" t="s">
        <v>415</v>
      </c>
      <c r="F84" s="26">
        <v>18</v>
      </c>
      <c r="G84" s="26" t="s">
        <v>12</v>
      </c>
      <c r="H84" s="48">
        <v>1121.5899999999999</v>
      </c>
      <c r="I84" s="48">
        <f>+H84*F84</f>
        <v>20188.62</v>
      </c>
    </row>
    <row r="85" spans="1:17" x14ac:dyDescent="0.25">
      <c r="A85" s="3">
        <v>74</v>
      </c>
      <c r="B85" s="59" t="s">
        <v>404</v>
      </c>
      <c r="C85" s="53" t="s">
        <v>404</v>
      </c>
      <c r="D85" s="32" t="s">
        <v>442</v>
      </c>
      <c r="E85" s="46" t="s">
        <v>416</v>
      </c>
      <c r="F85" s="26">
        <v>30</v>
      </c>
      <c r="G85" s="26" t="s">
        <v>12</v>
      </c>
      <c r="H85" s="48">
        <v>502.09</v>
      </c>
      <c r="I85" s="48">
        <f>+H85*F85</f>
        <v>15062.699999999999</v>
      </c>
    </row>
    <row r="86" spans="1:17" x14ac:dyDescent="0.25">
      <c r="A86" s="3">
        <v>75</v>
      </c>
      <c r="B86" s="59">
        <v>45366</v>
      </c>
      <c r="C86" s="53">
        <v>45366</v>
      </c>
      <c r="D86" s="32" t="s">
        <v>291</v>
      </c>
      <c r="E86" s="46" t="s">
        <v>292</v>
      </c>
      <c r="F86" s="26">
        <v>5</v>
      </c>
      <c r="G86" s="26" t="s">
        <v>12</v>
      </c>
      <c r="H86" s="47">
        <v>6490</v>
      </c>
      <c r="I86" s="48">
        <f>F86*H86</f>
        <v>32450</v>
      </c>
    </row>
    <row r="87" spans="1:17" x14ac:dyDescent="0.25">
      <c r="A87" s="3">
        <v>76</v>
      </c>
      <c r="B87" s="59">
        <v>45364</v>
      </c>
      <c r="C87" s="53">
        <v>45364</v>
      </c>
      <c r="D87" s="32" t="s">
        <v>271</v>
      </c>
      <c r="E87" s="46" t="s">
        <v>258</v>
      </c>
      <c r="F87" s="26">
        <f>8-2-1</f>
        <v>5</v>
      </c>
      <c r="G87" s="26" t="s">
        <v>12</v>
      </c>
      <c r="H87" s="48">
        <v>4956</v>
      </c>
      <c r="I87" s="48">
        <f>F87*H87</f>
        <v>24780</v>
      </c>
      <c r="K87" s="44">
        <v>2</v>
      </c>
    </row>
    <row r="88" spans="1:17" x14ac:dyDescent="0.25">
      <c r="A88" s="3">
        <v>77</v>
      </c>
      <c r="B88" s="59">
        <v>45364</v>
      </c>
      <c r="C88" s="53">
        <v>45364</v>
      </c>
      <c r="D88" s="32" t="s">
        <v>276</v>
      </c>
      <c r="E88" s="46" t="s">
        <v>261</v>
      </c>
      <c r="F88" s="26">
        <v>4</v>
      </c>
      <c r="G88" s="26" t="s">
        <v>12</v>
      </c>
      <c r="H88" s="48">
        <v>10443</v>
      </c>
      <c r="I88" s="48">
        <f t="shared" si="4"/>
        <v>41772</v>
      </c>
    </row>
    <row r="89" spans="1:17" x14ac:dyDescent="0.25">
      <c r="A89" s="3">
        <v>78</v>
      </c>
      <c r="B89" s="59">
        <v>45364</v>
      </c>
      <c r="C89" s="53">
        <v>45364</v>
      </c>
      <c r="D89" s="32" t="s">
        <v>277</v>
      </c>
      <c r="E89" s="46" t="s">
        <v>262</v>
      </c>
      <c r="F89" s="26">
        <v>2</v>
      </c>
      <c r="G89" s="26" t="s">
        <v>12</v>
      </c>
      <c r="H89" s="47">
        <v>8142</v>
      </c>
      <c r="I89" s="48">
        <f t="shared" si="4"/>
        <v>16284</v>
      </c>
    </row>
    <row r="90" spans="1:17" x14ac:dyDescent="0.25">
      <c r="A90" s="3">
        <v>79</v>
      </c>
      <c r="B90" s="59">
        <v>45370</v>
      </c>
      <c r="C90" s="53">
        <v>45370</v>
      </c>
      <c r="D90" s="32" t="s">
        <v>302</v>
      </c>
      <c r="E90" s="46" t="s">
        <v>270</v>
      </c>
      <c r="F90" s="26">
        <v>5</v>
      </c>
      <c r="G90" s="26" t="s">
        <v>12</v>
      </c>
      <c r="H90" s="48">
        <v>5310</v>
      </c>
      <c r="I90" s="48">
        <f>F90*H90</f>
        <v>26550</v>
      </c>
      <c r="K90" s="49"/>
      <c r="L90" s="50"/>
    </row>
    <row r="91" spans="1:17" x14ac:dyDescent="0.25">
      <c r="A91" s="3">
        <v>80</v>
      </c>
      <c r="B91" s="59" t="s">
        <v>404</v>
      </c>
      <c r="C91" s="53" t="s">
        <v>404</v>
      </c>
      <c r="D91" s="32" t="s">
        <v>382</v>
      </c>
      <c r="E91" s="46" t="s">
        <v>347</v>
      </c>
      <c r="F91" s="26">
        <v>40</v>
      </c>
      <c r="G91" s="26" t="s">
        <v>12</v>
      </c>
      <c r="H91" s="47">
        <v>2301</v>
      </c>
      <c r="I91" s="48">
        <f>+H91*F91</f>
        <v>92040</v>
      </c>
      <c r="K91" s="44">
        <v>5</v>
      </c>
    </row>
    <row r="92" spans="1:17" x14ac:dyDescent="0.25">
      <c r="A92" s="3">
        <v>81</v>
      </c>
      <c r="B92" s="59">
        <v>45364</v>
      </c>
      <c r="C92" s="53">
        <v>45364</v>
      </c>
      <c r="D92" s="32" t="s">
        <v>272</v>
      </c>
      <c r="E92" s="46" t="s">
        <v>259</v>
      </c>
      <c r="F92" s="26">
        <v>8</v>
      </c>
      <c r="G92" s="26" t="s">
        <v>12</v>
      </c>
      <c r="H92" s="48">
        <v>8142</v>
      </c>
      <c r="I92" s="48">
        <f>F92*H92</f>
        <v>65136</v>
      </c>
    </row>
    <row r="93" spans="1:17" x14ac:dyDescent="0.25">
      <c r="A93" s="3">
        <v>82</v>
      </c>
      <c r="B93" s="59">
        <v>45364</v>
      </c>
      <c r="C93" s="53">
        <v>45364</v>
      </c>
      <c r="D93" s="32" t="s">
        <v>273</v>
      </c>
      <c r="E93" s="46" t="s">
        <v>260</v>
      </c>
      <c r="F93" s="26">
        <v>12</v>
      </c>
      <c r="G93" s="26" t="s">
        <v>12</v>
      </c>
      <c r="H93" s="47">
        <v>8142</v>
      </c>
      <c r="I93" s="48">
        <f>F93*H93</f>
        <v>97704</v>
      </c>
    </row>
    <row r="94" spans="1:17" x14ac:dyDescent="0.25">
      <c r="A94" s="3">
        <v>83</v>
      </c>
      <c r="B94" s="59">
        <v>45400</v>
      </c>
      <c r="C94" s="53">
        <v>45400</v>
      </c>
      <c r="D94" s="32" t="s">
        <v>320</v>
      </c>
      <c r="E94" s="46" t="s">
        <v>322</v>
      </c>
      <c r="F94" s="26">
        <v>0</v>
      </c>
      <c r="G94" s="26" t="s">
        <v>12</v>
      </c>
      <c r="H94" s="48" t="e">
        <f t="shared" ref="H94" si="7">+I94/F94</f>
        <v>#DIV/0!</v>
      </c>
      <c r="I94" s="48">
        <v>94381.119999999995</v>
      </c>
      <c r="J94" s="23"/>
      <c r="K94" s="44">
        <v>15</v>
      </c>
      <c r="M94" s="22"/>
      <c r="N94" s="22"/>
      <c r="O94" s="22"/>
      <c r="P94" s="22"/>
      <c r="Q94" s="22"/>
    </row>
    <row r="95" spans="1:17" x14ac:dyDescent="0.25">
      <c r="A95" s="3">
        <v>84</v>
      </c>
      <c r="B95" s="59">
        <v>45400</v>
      </c>
      <c r="C95" s="53">
        <v>45400</v>
      </c>
      <c r="D95" s="32" t="s">
        <v>321</v>
      </c>
      <c r="E95" s="46" t="s">
        <v>323</v>
      </c>
      <c r="F95" s="26">
        <v>3</v>
      </c>
      <c r="G95" s="26" t="s">
        <v>12</v>
      </c>
      <c r="H95" s="47">
        <v>2301</v>
      </c>
      <c r="I95" s="48">
        <f>+H95*F95</f>
        <v>6903</v>
      </c>
      <c r="J95" s="23"/>
      <c r="K95" s="44">
        <v>15</v>
      </c>
      <c r="M95" s="22"/>
      <c r="N95" s="22"/>
      <c r="O95" s="22"/>
      <c r="P95" s="22"/>
      <c r="Q95" s="22"/>
    </row>
    <row r="96" spans="1:17" x14ac:dyDescent="0.25">
      <c r="A96" s="3">
        <v>85</v>
      </c>
      <c r="B96" s="59">
        <v>45400</v>
      </c>
      <c r="C96" s="53">
        <v>45400</v>
      </c>
      <c r="D96" s="32" t="s">
        <v>303</v>
      </c>
      <c r="E96" s="46" t="s">
        <v>328</v>
      </c>
      <c r="F96" s="26">
        <v>13</v>
      </c>
      <c r="G96" s="26" t="s">
        <v>12</v>
      </c>
      <c r="H96" s="48">
        <v>3119.92</v>
      </c>
      <c r="I96" s="48">
        <f>+H96*F96</f>
        <v>40558.959999999999</v>
      </c>
      <c r="K96" s="44">
        <v>16</v>
      </c>
    </row>
    <row r="97" spans="1:11" x14ac:dyDescent="0.25">
      <c r="A97" s="3">
        <v>86</v>
      </c>
      <c r="B97" s="59" t="s">
        <v>404</v>
      </c>
      <c r="C97" s="53" t="s">
        <v>404</v>
      </c>
      <c r="D97" s="32" t="s">
        <v>375</v>
      </c>
      <c r="E97" s="46" t="s">
        <v>341</v>
      </c>
      <c r="F97" s="26">
        <v>25</v>
      </c>
      <c r="G97" s="26" t="s">
        <v>12</v>
      </c>
      <c r="H97" s="47">
        <v>566.4</v>
      </c>
      <c r="I97" s="48">
        <f>+H97*F97</f>
        <v>14160</v>
      </c>
    </row>
    <row r="98" spans="1:11" x14ac:dyDescent="0.25">
      <c r="A98" s="3">
        <v>87</v>
      </c>
      <c r="B98" s="59">
        <v>45364</v>
      </c>
      <c r="C98" s="53">
        <v>45364</v>
      </c>
      <c r="D98" s="32" t="s">
        <v>278</v>
      </c>
      <c r="E98" s="46" t="s">
        <v>263</v>
      </c>
      <c r="F98" s="26">
        <v>5</v>
      </c>
      <c r="G98" s="26" t="s">
        <v>12</v>
      </c>
      <c r="H98" s="47">
        <v>3304</v>
      </c>
      <c r="I98" s="48">
        <f t="shared" si="4"/>
        <v>16520</v>
      </c>
    </row>
    <row r="99" spans="1:11" x14ac:dyDescent="0.25">
      <c r="A99" s="3">
        <v>88</v>
      </c>
      <c r="B99" s="59">
        <v>45366</v>
      </c>
      <c r="C99" s="53">
        <v>45366</v>
      </c>
      <c r="D99" s="32" t="s">
        <v>295</v>
      </c>
      <c r="E99" s="46" t="s">
        <v>256</v>
      </c>
      <c r="F99" s="26">
        <v>2</v>
      </c>
      <c r="G99" s="26" t="s">
        <v>12</v>
      </c>
      <c r="H99" s="47">
        <v>15222</v>
      </c>
      <c r="I99" s="48">
        <f t="shared" si="4"/>
        <v>30444</v>
      </c>
    </row>
    <row r="100" spans="1:11" x14ac:dyDescent="0.25">
      <c r="A100" s="3">
        <v>89</v>
      </c>
      <c r="B100" s="59" t="s">
        <v>404</v>
      </c>
      <c r="C100" s="53" t="s">
        <v>404</v>
      </c>
      <c r="D100" s="32" t="s">
        <v>374</v>
      </c>
      <c r="E100" s="46" t="s">
        <v>340</v>
      </c>
      <c r="F100" s="26">
        <v>10</v>
      </c>
      <c r="G100" s="26" t="s">
        <v>12</v>
      </c>
      <c r="H100" s="47">
        <v>2773</v>
      </c>
      <c r="I100" s="48">
        <f>+H100*F100</f>
        <v>27730</v>
      </c>
    </row>
    <row r="101" spans="1:11" x14ac:dyDescent="0.25">
      <c r="A101" s="3">
        <v>90</v>
      </c>
      <c r="B101" s="59">
        <v>45364</v>
      </c>
      <c r="C101" s="53">
        <v>45364</v>
      </c>
      <c r="D101" s="32" t="s">
        <v>279</v>
      </c>
      <c r="E101" s="46" t="s">
        <v>264</v>
      </c>
      <c r="F101" s="26">
        <v>5</v>
      </c>
      <c r="G101" s="26" t="s">
        <v>12</v>
      </c>
      <c r="H101" s="48">
        <v>12862</v>
      </c>
      <c r="I101" s="48">
        <f>F101*H101</f>
        <v>64310</v>
      </c>
    </row>
    <row r="102" spans="1:11" x14ac:dyDescent="0.25">
      <c r="A102" s="3">
        <v>91</v>
      </c>
      <c r="B102" s="59" t="s">
        <v>404</v>
      </c>
      <c r="C102" s="53" t="s">
        <v>404</v>
      </c>
      <c r="D102" s="32" t="s">
        <v>332</v>
      </c>
      <c r="E102" s="46" t="s">
        <v>333</v>
      </c>
      <c r="F102" s="26">
        <v>10</v>
      </c>
      <c r="G102" s="26" t="s">
        <v>12</v>
      </c>
      <c r="H102" s="47">
        <v>5546</v>
      </c>
      <c r="I102" s="48">
        <f>+H102*F102</f>
        <v>55460</v>
      </c>
    </row>
    <row r="103" spans="1:11" x14ac:dyDescent="0.25">
      <c r="A103" s="3">
        <v>92</v>
      </c>
      <c r="B103" s="59">
        <v>45370</v>
      </c>
      <c r="C103" s="53">
        <v>45370</v>
      </c>
      <c r="D103" s="32" t="s">
        <v>300</v>
      </c>
      <c r="E103" s="46" t="s">
        <v>301</v>
      </c>
      <c r="F103" s="26">
        <v>8</v>
      </c>
      <c r="G103" s="26" t="s">
        <v>12</v>
      </c>
      <c r="H103" s="47">
        <v>5310</v>
      </c>
      <c r="I103" s="48">
        <f t="shared" si="4"/>
        <v>42480</v>
      </c>
    </row>
    <row r="104" spans="1:11" x14ac:dyDescent="0.25">
      <c r="A104" s="3">
        <v>93</v>
      </c>
      <c r="B104" s="59">
        <v>45400</v>
      </c>
      <c r="C104" s="53">
        <v>45400</v>
      </c>
      <c r="D104" s="32" t="s">
        <v>304</v>
      </c>
      <c r="E104" s="46" t="s">
        <v>329</v>
      </c>
      <c r="F104" s="26">
        <v>4</v>
      </c>
      <c r="G104" s="26" t="s">
        <v>12</v>
      </c>
      <c r="H104" s="47">
        <v>351.88</v>
      </c>
      <c r="I104" s="48">
        <f t="shared" ref="I104:I110" si="8">+H104*F104</f>
        <v>1407.52</v>
      </c>
      <c r="K104" s="44">
        <v>11</v>
      </c>
    </row>
    <row r="105" spans="1:11" x14ac:dyDescent="0.25">
      <c r="A105" s="3">
        <v>94</v>
      </c>
      <c r="B105" s="59" t="s">
        <v>404</v>
      </c>
      <c r="C105" s="53" t="s">
        <v>404</v>
      </c>
      <c r="D105" s="32" t="s">
        <v>369</v>
      </c>
      <c r="E105" s="46" t="s">
        <v>335</v>
      </c>
      <c r="F105" s="26">
        <v>5</v>
      </c>
      <c r="G105" s="26" t="s">
        <v>12</v>
      </c>
      <c r="H105" s="48">
        <v>297.36</v>
      </c>
      <c r="I105" s="48">
        <f t="shared" si="8"/>
        <v>1486.8000000000002</v>
      </c>
    </row>
    <row r="106" spans="1:11" x14ac:dyDescent="0.25">
      <c r="A106" s="3">
        <v>95</v>
      </c>
      <c r="B106" s="59">
        <v>45420</v>
      </c>
      <c r="C106" s="53">
        <v>45420</v>
      </c>
      <c r="D106" s="32" t="s">
        <v>248</v>
      </c>
      <c r="E106" s="46" t="s">
        <v>249</v>
      </c>
      <c r="F106" s="26">
        <v>43</v>
      </c>
      <c r="G106" s="26" t="s">
        <v>12</v>
      </c>
      <c r="H106" s="47">
        <v>23600</v>
      </c>
      <c r="I106" s="48">
        <f>F106*H106</f>
        <v>1014800</v>
      </c>
      <c r="J106" s="22">
        <v>14</v>
      </c>
      <c r="K106" s="44">
        <v>4</v>
      </c>
    </row>
    <row r="107" spans="1:11" x14ac:dyDescent="0.25">
      <c r="A107" s="3">
        <v>96</v>
      </c>
      <c r="B107" s="59" t="s">
        <v>404</v>
      </c>
      <c r="C107" s="53" t="s">
        <v>404</v>
      </c>
      <c r="D107" s="32" t="s">
        <v>392</v>
      </c>
      <c r="E107" s="46" t="s">
        <v>356</v>
      </c>
      <c r="F107" s="26">
        <v>10</v>
      </c>
      <c r="G107" s="26" t="s">
        <v>12</v>
      </c>
      <c r="H107" s="47">
        <v>1767.65</v>
      </c>
      <c r="I107" s="48">
        <f t="shared" si="8"/>
        <v>17676.5</v>
      </c>
    </row>
    <row r="108" spans="1:11" x14ac:dyDescent="0.25">
      <c r="A108" s="3">
        <v>97</v>
      </c>
      <c r="B108" s="59" t="s">
        <v>404</v>
      </c>
      <c r="C108" s="53" t="s">
        <v>404</v>
      </c>
      <c r="D108" s="32" t="s">
        <v>393</v>
      </c>
      <c r="E108" s="46" t="s">
        <v>357</v>
      </c>
      <c r="F108" s="26">
        <v>10</v>
      </c>
      <c r="G108" s="26" t="s">
        <v>12</v>
      </c>
      <c r="H108" s="47">
        <v>584.1</v>
      </c>
      <c r="I108" s="48">
        <f t="shared" si="8"/>
        <v>5841</v>
      </c>
    </row>
    <row r="109" spans="1:11" x14ac:dyDescent="0.25">
      <c r="A109" s="3">
        <v>98</v>
      </c>
      <c r="B109" s="59" t="s">
        <v>404</v>
      </c>
      <c r="C109" s="53" t="s">
        <v>404</v>
      </c>
      <c r="D109" s="32" t="s">
        <v>394</v>
      </c>
      <c r="E109" s="46" t="s">
        <v>358</v>
      </c>
      <c r="F109" s="26">
        <v>10</v>
      </c>
      <c r="G109" s="26" t="s">
        <v>12</v>
      </c>
      <c r="H109" s="48">
        <v>820.1</v>
      </c>
      <c r="I109" s="48">
        <f t="shared" si="8"/>
        <v>8201</v>
      </c>
    </row>
    <row r="110" spans="1:11" x14ac:dyDescent="0.25">
      <c r="A110" s="3">
        <v>99</v>
      </c>
      <c r="B110" s="59" t="s">
        <v>404</v>
      </c>
      <c r="C110" s="53" t="s">
        <v>404</v>
      </c>
      <c r="D110" s="32" t="s">
        <v>433</v>
      </c>
      <c r="E110" s="46" t="s">
        <v>407</v>
      </c>
      <c r="F110" s="26">
        <v>30</v>
      </c>
      <c r="G110" s="26" t="s">
        <v>12</v>
      </c>
      <c r="H110" s="47">
        <v>451</v>
      </c>
      <c r="I110" s="48">
        <f t="shared" si="8"/>
        <v>13530</v>
      </c>
    </row>
    <row r="111" spans="1:11" x14ac:dyDescent="0.25">
      <c r="A111" s="3">
        <v>100</v>
      </c>
      <c r="B111" s="59" t="s">
        <v>404</v>
      </c>
      <c r="C111" s="53" t="s">
        <v>404</v>
      </c>
      <c r="D111" s="32" t="s">
        <v>439</v>
      </c>
      <c r="E111" s="46" t="s">
        <v>413</v>
      </c>
      <c r="F111" s="26">
        <f>10-5</f>
        <v>5</v>
      </c>
      <c r="G111" s="26" t="s">
        <v>12</v>
      </c>
      <c r="H111" s="47">
        <v>8130.2</v>
      </c>
      <c r="I111" s="48">
        <f t="shared" ref="I111:I129" si="9">+H111*F111</f>
        <v>40651</v>
      </c>
      <c r="K111" s="44">
        <v>5</v>
      </c>
    </row>
    <row r="112" spans="1:11" x14ac:dyDescent="0.25">
      <c r="A112" s="3">
        <v>101</v>
      </c>
      <c r="B112" s="59" t="s">
        <v>404</v>
      </c>
      <c r="C112" s="53" t="s">
        <v>404</v>
      </c>
      <c r="D112" s="32" t="s">
        <v>443</v>
      </c>
      <c r="E112" s="46" t="s">
        <v>417</v>
      </c>
      <c r="F112" s="26">
        <v>20</v>
      </c>
      <c r="G112" s="26" t="s">
        <v>12</v>
      </c>
      <c r="H112" s="47">
        <v>1552.88</v>
      </c>
      <c r="I112" s="48">
        <f t="shared" si="9"/>
        <v>31057.600000000002</v>
      </c>
    </row>
    <row r="113" spans="1:17" x14ac:dyDescent="0.25">
      <c r="A113" s="3">
        <v>102</v>
      </c>
      <c r="B113" s="59" t="s">
        <v>404</v>
      </c>
      <c r="C113" s="53" t="s">
        <v>404</v>
      </c>
      <c r="D113" s="32" t="s">
        <v>451</v>
      </c>
      <c r="E113" s="46" t="s">
        <v>425</v>
      </c>
      <c r="F113" s="26">
        <v>5</v>
      </c>
      <c r="G113" s="26" t="s">
        <v>12</v>
      </c>
      <c r="H113" s="47">
        <v>2714</v>
      </c>
      <c r="I113" s="48">
        <f t="shared" si="9"/>
        <v>13570</v>
      </c>
    </row>
    <row r="114" spans="1:17" s="45" customFormat="1" x14ac:dyDescent="0.25">
      <c r="A114" s="3">
        <v>103</v>
      </c>
      <c r="B114" s="59" t="s">
        <v>404</v>
      </c>
      <c r="C114" s="53" t="s">
        <v>404</v>
      </c>
      <c r="D114" s="32" t="s">
        <v>452</v>
      </c>
      <c r="E114" s="46" t="s">
        <v>426</v>
      </c>
      <c r="F114" s="26">
        <v>10</v>
      </c>
      <c r="G114" s="26" t="s">
        <v>12</v>
      </c>
      <c r="H114" s="47">
        <v>5723</v>
      </c>
      <c r="I114" s="48">
        <f t="shared" si="9"/>
        <v>57230</v>
      </c>
      <c r="J114" s="22"/>
      <c r="K114" s="44"/>
      <c r="M114" s="44"/>
      <c r="N114" s="44"/>
      <c r="O114" s="44"/>
      <c r="P114" s="44"/>
      <c r="Q114" s="44"/>
    </row>
    <row r="115" spans="1:17" s="45" customFormat="1" x14ac:dyDescent="0.25">
      <c r="A115" s="3">
        <v>104</v>
      </c>
      <c r="B115" s="59" t="s">
        <v>404</v>
      </c>
      <c r="C115" s="53" t="s">
        <v>404</v>
      </c>
      <c r="D115" s="32" t="s">
        <v>455</v>
      </c>
      <c r="E115" s="46" t="s">
        <v>429</v>
      </c>
      <c r="F115" s="26">
        <v>31</v>
      </c>
      <c r="G115" s="26" t="s">
        <v>12</v>
      </c>
      <c r="H115" s="47">
        <v>3628.5</v>
      </c>
      <c r="I115" s="48">
        <f t="shared" si="9"/>
        <v>112483.5</v>
      </c>
      <c r="J115" s="22"/>
      <c r="K115" s="44">
        <v>10</v>
      </c>
      <c r="M115" s="44"/>
      <c r="N115" s="44"/>
      <c r="O115" s="44"/>
      <c r="P115" s="44"/>
      <c r="Q115" s="44"/>
    </row>
    <row r="116" spans="1:17" s="44" customFormat="1" x14ac:dyDescent="0.25">
      <c r="A116" s="3">
        <v>105</v>
      </c>
      <c r="B116" s="59" t="s">
        <v>404</v>
      </c>
      <c r="C116" s="53" t="s">
        <v>404</v>
      </c>
      <c r="D116" s="32" t="s">
        <v>456</v>
      </c>
      <c r="E116" s="46" t="s">
        <v>430</v>
      </c>
      <c r="F116" s="26">
        <v>80</v>
      </c>
      <c r="G116" s="26" t="s">
        <v>12</v>
      </c>
      <c r="H116" s="47">
        <v>1018.93</v>
      </c>
      <c r="I116" s="48">
        <f t="shared" si="9"/>
        <v>81514.399999999994</v>
      </c>
      <c r="J116" s="22"/>
      <c r="L116" s="45"/>
    </row>
    <row r="117" spans="1:17" s="44" customFormat="1" x14ac:dyDescent="0.25">
      <c r="A117" s="3">
        <v>106</v>
      </c>
      <c r="B117" s="59" t="s">
        <v>404</v>
      </c>
      <c r="C117" s="53" t="s">
        <v>404</v>
      </c>
      <c r="D117" s="32" t="s">
        <v>457</v>
      </c>
      <c r="E117" s="46" t="s">
        <v>431</v>
      </c>
      <c r="F117" s="26">
        <v>30</v>
      </c>
      <c r="G117" s="26" t="s">
        <v>12</v>
      </c>
      <c r="H117" s="48">
        <v>1268.5</v>
      </c>
      <c r="I117" s="48">
        <f t="shared" si="9"/>
        <v>38055</v>
      </c>
      <c r="J117" s="22"/>
      <c r="L117" s="45"/>
    </row>
    <row r="118" spans="1:17" s="44" customFormat="1" x14ac:dyDescent="0.25">
      <c r="A118" s="3">
        <v>107</v>
      </c>
      <c r="B118" s="59" t="s">
        <v>404</v>
      </c>
      <c r="C118" s="53" t="s">
        <v>404</v>
      </c>
      <c r="D118" s="32" t="s">
        <v>458</v>
      </c>
      <c r="E118" s="46" t="s">
        <v>432</v>
      </c>
      <c r="F118" s="26">
        <v>20</v>
      </c>
      <c r="G118" s="26" t="s">
        <v>12</v>
      </c>
      <c r="H118" s="48">
        <v>4696.3999999999996</v>
      </c>
      <c r="I118" s="48">
        <f t="shared" si="9"/>
        <v>93928</v>
      </c>
      <c r="J118" s="22"/>
      <c r="L118" s="45"/>
    </row>
    <row r="119" spans="1:17" x14ac:dyDescent="0.25">
      <c r="A119" s="3">
        <v>108</v>
      </c>
      <c r="B119" s="59">
        <v>45366</v>
      </c>
      <c r="C119" s="53">
        <v>45366</v>
      </c>
      <c r="D119" s="32" t="s">
        <v>293</v>
      </c>
      <c r="E119" s="46" t="s">
        <v>254</v>
      </c>
      <c r="F119" s="26">
        <f>4-2</f>
        <v>2</v>
      </c>
      <c r="G119" s="26" t="s">
        <v>12</v>
      </c>
      <c r="H119" s="48">
        <v>10502</v>
      </c>
      <c r="I119" s="48">
        <f>F119*H119</f>
        <v>21004</v>
      </c>
      <c r="K119" s="44">
        <v>2</v>
      </c>
    </row>
    <row r="120" spans="1:17" x14ac:dyDescent="0.25">
      <c r="A120" s="3">
        <v>109</v>
      </c>
      <c r="B120" s="59">
        <v>45366</v>
      </c>
      <c r="C120" s="53">
        <v>45366</v>
      </c>
      <c r="D120" s="32" t="s">
        <v>294</v>
      </c>
      <c r="E120" s="46" t="s">
        <v>255</v>
      </c>
      <c r="F120" s="26">
        <f>4-2</f>
        <v>2</v>
      </c>
      <c r="G120" s="26" t="s">
        <v>12</v>
      </c>
      <c r="H120" s="48">
        <v>10502</v>
      </c>
      <c r="I120" s="48">
        <f>F120*H120</f>
        <v>21004</v>
      </c>
      <c r="K120" s="44">
        <v>2</v>
      </c>
    </row>
    <row r="121" spans="1:17" s="44" customFormat="1" x14ac:dyDescent="0.25">
      <c r="A121" s="3">
        <v>110</v>
      </c>
      <c r="B121" s="59">
        <v>45433</v>
      </c>
      <c r="C121" s="53">
        <v>45433</v>
      </c>
      <c r="D121" s="32" t="s">
        <v>248</v>
      </c>
      <c r="E121" s="46" t="s">
        <v>496</v>
      </c>
      <c r="F121" s="26">
        <v>8</v>
      </c>
      <c r="G121" s="26" t="s">
        <v>12</v>
      </c>
      <c r="H121" s="47">
        <v>21490.67</v>
      </c>
      <c r="I121" s="48">
        <f t="shared" si="9"/>
        <v>171925.36</v>
      </c>
      <c r="J121" s="22"/>
      <c r="L121" s="45"/>
    </row>
    <row r="122" spans="1:17" x14ac:dyDescent="0.25">
      <c r="A122" s="3">
        <v>111</v>
      </c>
      <c r="B122" s="59">
        <v>45400</v>
      </c>
      <c r="C122" s="53">
        <v>45400</v>
      </c>
      <c r="D122" s="32" t="s">
        <v>324</v>
      </c>
      <c r="E122" s="46" t="s">
        <v>326</v>
      </c>
      <c r="F122" s="26">
        <v>8</v>
      </c>
      <c r="G122" s="26" t="s">
        <v>12</v>
      </c>
      <c r="H122" s="48">
        <v>14236.57</v>
      </c>
      <c r="I122" s="48">
        <f>+H122*F122</f>
        <v>113892.56</v>
      </c>
      <c r="J122" s="23"/>
      <c r="M122" s="22"/>
      <c r="N122" s="22"/>
      <c r="O122" s="22"/>
      <c r="P122" s="22"/>
      <c r="Q122" s="22"/>
    </row>
    <row r="123" spans="1:17" x14ac:dyDescent="0.25">
      <c r="A123" s="3">
        <v>112</v>
      </c>
      <c r="B123" s="59">
        <v>45400</v>
      </c>
      <c r="C123" s="53">
        <v>45400</v>
      </c>
      <c r="D123" s="32" t="s">
        <v>325</v>
      </c>
      <c r="E123" s="46" t="s">
        <v>327</v>
      </c>
      <c r="F123" s="26">
        <f>8+8-2</f>
        <v>14</v>
      </c>
      <c r="G123" s="26" t="s">
        <v>12</v>
      </c>
      <c r="H123" s="47">
        <v>12438.05</v>
      </c>
      <c r="I123" s="48">
        <f>+H123*F123</f>
        <v>174132.69999999998</v>
      </c>
      <c r="J123" s="23"/>
      <c r="K123" s="44">
        <v>2</v>
      </c>
      <c r="M123" s="22"/>
      <c r="N123" s="22"/>
      <c r="O123" s="22"/>
      <c r="P123" s="22"/>
      <c r="Q123" s="22"/>
    </row>
    <row r="124" spans="1:17" x14ac:dyDescent="0.25">
      <c r="A124" s="3">
        <v>113</v>
      </c>
      <c r="B124" s="59">
        <v>45400</v>
      </c>
      <c r="C124" s="53">
        <v>45400</v>
      </c>
      <c r="D124" s="32" t="s">
        <v>305</v>
      </c>
      <c r="E124" s="46" t="s">
        <v>330</v>
      </c>
      <c r="F124" s="26">
        <v>6</v>
      </c>
      <c r="G124" s="26" t="s">
        <v>12</v>
      </c>
      <c r="H124" s="47">
        <v>23832.94</v>
      </c>
      <c r="I124" s="48">
        <f>+H124*F124</f>
        <v>142997.63999999998</v>
      </c>
    </row>
    <row r="125" spans="1:17" x14ac:dyDescent="0.25">
      <c r="A125" s="3">
        <v>114</v>
      </c>
      <c r="B125" s="59">
        <v>45400</v>
      </c>
      <c r="C125" s="53">
        <v>45400</v>
      </c>
      <c r="D125" s="32" t="s">
        <v>306</v>
      </c>
      <c r="E125" s="46" t="s">
        <v>331</v>
      </c>
      <c r="F125" s="26">
        <v>16</v>
      </c>
      <c r="G125" s="26" t="s">
        <v>12</v>
      </c>
      <c r="H125" s="48">
        <v>14205.28</v>
      </c>
      <c r="I125" s="48">
        <f>+H125*F125</f>
        <v>227284.48000000001</v>
      </c>
      <c r="K125" s="44">
        <v>8</v>
      </c>
    </row>
    <row r="126" spans="1:17" s="44" customFormat="1" x14ac:dyDescent="0.25">
      <c r="A126" s="3">
        <v>115</v>
      </c>
      <c r="B126" s="59">
        <v>45433</v>
      </c>
      <c r="C126" s="53">
        <v>45433</v>
      </c>
      <c r="D126" s="32" t="s">
        <v>274</v>
      </c>
      <c r="E126" s="46" t="s">
        <v>497</v>
      </c>
      <c r="F126" s="26">
        <v>3</v>
      </c>
      <c r="G126" s="26" t="s">
        <v>12</v>
      </c>
      <c r="H126" s="48">
        <v>23832.94</v>
      </c>
      <c r="I126" s="48">
        <f t="shared" si="9"/>
        <v>71498.819999999992</v>
      </c>
      <c r="J126" s="22"/>
      <c r="L126" s="45"/>
    </row>
    <row r="127" spans="1:17" s="44" customFormat="1" x14ac:dyDescent="0.25">
      <c r="A127" s="3">
        <v>116</v>
      </c>
      <c r="B127" s="59">
        <v>45433</v>
      </c>
      <c r="C127" s="53">
        <v>45433</v>
      </c>
      <c r="D127" s="32" t="s">
        <v>280</v>
      </c>
      <c r="E127" s="46" t="s">
        <v>498</v>
      </c>
      <c r="F127" s="26">
        <v>24</v>
      </c>
      <c r="G127" s="26" t="s">
        <v>12</v>
      </c>
      <c r="H127" s="48">
        <v>20079.939999999999</v>
      </c>
      <c r="I127" s="48">
        <f t="shared" si="9"/>
        <v>481918.55999999994</v>
      </c>
      <c r="J127" s="22"/>
      <c r="L127" s="45"/>
    </row>
    <row r="128" spans="1:17" s="44" customFormat="1" x14ac:dyDescent="0.25">
      <c r="A128" s="3">
        <v>117</v>
      </c>
      <c r="B128" s="59">
        <v>45433</v>
      </c>
      <c r="C128" s="53">
        <v>45433</v>
      </c>
      <c r="D128" s="32" t="s">
        <v>278</v>
      </c>
      <c r="E128" s="46" t="s">
        <v>499</v>
      </c>
      <c r="F128" s="26">
        <v>12</v>
      </c>
      <c r="G128" s="26" t="s">
        <v>12</v>
      </c>
      <c r="H128" s="47">
        <v>14205.28</v>
      </c>
      <c r="I128" s="48">
        <f t="shared" si="9"/>
        <v>170463.36000000002</v>
      </c>
      <c r="J128" s="22"/>
      <c r="L128" s="45"/>
    </row>
    <row r="129" spans="1:17" s="44" customFormat="1" x14ac:dyDescent="0.25">
      <c r="A129" s="3">
        <v>118</v>
      </c>
      <c r="B129" s="59">
        <v>45421</v>
      </c>
      <c r="C129" s="53">
        <v>45421</v>
      </c>
      <c r="D129" s="32">
        <v>5067</v>
      </c>
      <c r="E129" s="46" t="s">
        <v>495</v>
      </c>
      <c r="F129" s="26">
        <v>51</v>
      </c>
      <c r="G129" s="26" t="s">
        <v>12</v>
      </c>
      <c r="H129" s="47">
        <v>2341.59</v>
      </c>
      <c r="I129" s="48">
        <f t="shared" si="9"/>
        <v>119421.09000000001</v>
      </c>
      <c r="J129" s="22">
        <v>452</v>
      </c>
      <c r="L129" s="45"/>
    </row>
    <row r="130" spans="1:17" s="44" customFormat="1" x14ac:dyDescent="0.25">
      <c r="A130" s="1"/>
      <c r="B130" s="63"/>
      <c r="C130" s="63"/>
      <c r="D130" s="63"/>
      <c r="E130" s="20"/>
      <c r="F130" s="63"/>
      <c r="G130" s="1"/>
      <c r="H130" s="67" t="s">
        <v>55</v>
      </c>
      <c r="I130" s="66">
        <f>SUM(I12:I129)</f>
        <v>12880769.74</v>
      </c>
      <c r="J130" s="22"/>
      <c r="L130" s="45"/>
    </row>
    <row r="131" spans="1:17" s="44" customFormat="1" x14ac:dyDescent="0.25">
      <c r="A131" s="1"/>
      <c r="B131" s="1"/>
      <c r="C131" s="1"/>
      <c r="D131" s="1"/>
      <c r="E131" s="20"/>
      <c r="F131" s="1"/>
      <c r="G131" s="1"/>
      <c r="H131" s="19"/>
      <c r="I131" s="11"/>
      <c r="J131" s="22"/>
      <c r="L131" s="45"/>
    </row>
    <row r="132" spans="1:17" s="44" customFormat="1" x14ac:dyDescent="0.25">
      <c r="A132" s="1"/>
      <c r="B132" s="1"/>
      <c r="C132" s="1"/>
      <c r="D132" s="1"/>
      <c r="E132" s="20"/>
      <c r="F132" s="1"/>
      <c r="G132" s="1"/>
      <c r="H132" s="19"/>
      <c r="I132" s="11"/>
      <c r="J132" s="22"/>
      <c r="L132" s="45"/>
    </row>
    <row r="133" spans="1:17" s="44" customFormat="1" x14ac:dyDescent="0.25">
      <c r="A133" s="1"/>
      <c r="B133" s="1"/>
      <c r="C133" s="1"/>
      <c r="D133" s="1"/>
      <c r="E133" s="20"/>
      <c r="F133" s="1"/>
      <c r="G133" s="1"/>
      <c r="H133" s="19"/>
      <c r="I133" s="11"/>
      <c r="J133" s="22"/>
      <c r="L133" s="45"/>
    </row>
    <row r="135" spans="1:17" s="44" customFormat="1" ht="15" customHeight="1" x14ac:dyDescent="0.25">
      <c r="A135" s="89" t="s">
        <v>240</v>
      </c>
      <c r="B135" s="89"/>
      <c r="C135" s="89"/>
      <c r="D135" s="89"/>
      <c r="E135" s="89"/>
      <c r="F135" s="89"/>
      <c r="G135" s="89"/>
      <c r="H135" s="89"/>
      <c r="I135" s="89"/>
      <c r="J135" s="22"/>
      <c r="L135" s="45"/>
    </row>
    <row r="136" spans="1:17" s="44" customFormat="1" ht="15" customHeight="1" x14ac:dyDescent="0.25">
      <c r="A136" s="90" t="s">
        <v>241</v>
      </c>
      <c r="B136" s="90"/>
      <c r="C136" s="90"/>
      <c r="D136" s="90"/>
      <c r="E136" s="90"/>
      <c r="F136" s="90"/>
      <c r="G136" s="90"/>
      <c r="H136" s="90"/>
      <c r="I136" s="90"/>
      <c r="J136" s="22"/>
      <c r="L136" s="45"/>
    </row>
    <row r="137" spans="1:17" s="51" customFormat="1" x14ac:dyDescent="0.25">
      <c r="A137" s="82" t="s">
        <v>459</v>
      </c>
      <c r="B137" s="82"/>
      <c r="C137" s="82"/>
      <c r="D137" s="82"/>
      <c r="E137" s="82"/>
      <c r="F137" s="82"/>
      <c r="G137" s="82"/>
      <c r="H137" s="82"/>
      <c r="I137" s="82"/>
      <c r="J137" s="22"/>
      <c r="K137" s="44"/>
      <c r="L137" s="45"/>
      <c r="M137" s="44"/>
      <c r="N137" s="44"/>
      <c r="O137" s="44"/>
      <c r="P137" s="44"/>
      <c r="Q137" s="44"/>
    </row>
    <row r="138" spans="1:17" s="51" customFormat="1" x14ac:dyDescent="0.25">
      <c r="A138" s="23"/>
      <c r="B138" s="33" t="s">
        <v>243</v>
      </c>
      <c r="C138" s="23"/>
      <c r="D138" s="65"/>
      <c r="E138" s="52"/>
      <c r="F138" s="23"/>
      <c r="G138" s="23"/>
      <c r="J138" s="22"/>
      <c r="K138" s="44"/>
      <c r="L138" s="45"/>
      <c r="M138" s="44"/>
      <c r="N138" s="44"/>
      <c r="O138" s="44"/>
      <c r="P138" s="44"/>
      <c r="Q138" s="44"/>
    </row>
    <row r="139" spans="1:17" s="51" customFormat="1" x14ac:dyDescent="0.25">
      <c r="A139" s="23"/>
      <c r="B139" s="33" t="s">
        <v>460</v>
      </c>
      <c r="C139" s="23"/>
      <c r="D139" s="65"/>
      <c r="E139" s="52"/>
      <c r="F139" s="23"/>
      <c r="G139" s="23"/>
      <c r="J139" s="22"/>
      <c r="K139" s="44"/>
      <c r="L139" s="45"/>
      <c r="M139" s="44"/>
      <c r="N139" s="44"/>
      <c r="O139" s="44"/>
      <c r="P139" s="44"/>
      <c r="Q139" s="44"/>
    </row>
  </sheetData>
  <mergeCells count="9">
    <mergeCell ref="A137:I137"/>
    <mergeCell ref="F11:G11"/>
    <mergeCell ref="A7:I7"/>
    <mergeCell ref="A8:I8"/>
    <mergeCell ref="A9:I9"/>
    <mergeCell ref="A10:I10"/>
    <mergeCell ref="H11:I11"/>
    <mergeCell ref="A135:I135"/>
    <mergeCell ref="A136:I136"/>
  </mergeCells>
  <conditionalFormatting sqref="E1:E1048576">
    <cfRule type="duplicateValues" dxfId="2" priority="3"/>
  </conditionalFormatting>
  <conditionalFormatting sqref="E13:E128">
    <cfRule type="duplicateValues" dxfId="1" priority="19"/>
  </conditionalFormatting>
  <conditionalFormatting sqref="E13:E17">
    <cfRule type="duplicateValues" dxfId="0" priority="21"/>
  </conditionalFormatting>
  <pageMargins left="0.31496062992125984" right="0.11811023622047245" top="0.74803149606299213" bottom="0.74803149606299213" header="0.31496062992125984" footer="0.31496062992125984"/>
  <pageSetup scale="70" orientation="landscape" horizontalDpi="0" verticalDpi="0" r:id="rId1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MAT. DE OFIC.</vt:lpstr>
      <vt:lpstr>INDUMENTARIA</vt:lpstr>
      <vt:lpstr>HIGIENE</vt:lpstr>
      <vt:lpstr>SALUD</vt:lpstr>
      <vt:lpstr>TALLER</vt:lpstr>
      <vt:lpstr>HIGIENE!Área_de_impresión</vt:lpstr>
      <vt:lpstr>INDUMENTARIA!Área_de_impresión</vt:lpstr>
      <vt:lpstr>'MAT. DE OFIC.'!Área_de_impresión</vt:lpstr>
      <vt:lpstr>SALUD!Área_de_impresión</vt:lpstr>
      <vt:lpstr>TALLER!Área_de_impresión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Mateo Santiago</dc:creator>
  <cp:lastModifiedBy>Ivelisse Mateo Santiago</cp:lastModifiedBy>
  <cp:lastPrinted>2024-07-18T19:40:14Z</cp:lastPrinted>
  <dcterms:created xsi:type="dcterms:W3CDTF">2024-02-01T19:17:50Z</dcterms:created>
  <dcterms:modified xsi:type="dcterms:W3CDTF">2024-07-19T15:39:27Z</dcterms:modified>
</cp:coreProperties>
</file>