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7336CBCF-186E-43E1-BDB6-B41F18C18AF0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INDUMENTARIA" sheetId="1" r:id="rId1"/>
    <sheet name="MAT. DE OFIC." sheetId="2" r:id="rId2"/>
    <sheet name="HIGIENE" sheetId="3" r:id="rId3"/>
    <sheet name="SALUD" sheetId="4" r:id="rId4"/>
    <sheet name="TALLER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I22" i="3" s="1"/>
  <c r="F39" i="1" l="1"/>
  <c r="F37" i="1"/>
  <c r="F34" i="1"/>
  <c r="F33" i="1"/>
  <c r="F32" i="1"/>
  <c r="F29" i="1"/>
  <c r="F25" i="1"/>
  <c r="F21" i="1"/>
  <c r="F20" i="1"/>
  <c r="F19" i="1"/>
  <c r="F18" i="1"/>
  <c r="F17" i="1"/>
  <c r="F15" i="1"/>
  <c r="F14" i="1"/>
  <c r="F13" i="1"/>
  <c r="F127" i="2"/>
  <c r="F125" i="2"/>
  <c r="F100" i="2"/>
  <c r="F99" i="2"/>
  <c r="F98" i="2"/>
  <c r="F97" i="2"/>
  <c r="F96" i="2"/>
  <c r="F93" i="2"/>
  <c r="F92" i="2"/>
  <c r="F82" i="2"/>
  <c r="F79" i="2"/>
  <c r="F75" i="2"/>
  <c r="F74" i="2"/>
  <c r="F72" i="2"/>
  <c r="F70" i="2"/>
  <c r="F68" i="2"/>
  <c r="F65" i="2"/>
  <c r="F63" i="2"/>
  <c r="F62" i="2"/>
  <c r="F61" i="2"/>
  <c r="F60" i="2"/>
  <c r="F58" i="2"/>
  <c r="F57" i="2"/>
  <c r="F56" i="2"/>
  <c r="F55" i="2"/>
  <c r="F51" i="2"/>
  <c r="F50" i="2"/>
  <c r="F48" i="2"/>
  <c r="F47" i="2"/>
  <c r="F46" i="2"/>
  <c r="F45" i="2"/>
  <c r="F43" i="2"/>
  <c r="F41" i="2"/>
  <c r="F39" i="2"/>
  <c r="F35" i="2"/>
  <c r="F33" i="2"/>
  <c r="F32" i="2"/>
  <c r="F31" i="2"/>
  <c r="F28" i="2"/>
  <c r="F26" i="2"/>
  <c r="F24" i="2"/>
  <c r="F23" i="2"/>
  <c r="F21" i="2"/>
  <c r="F20" i="2"/>
  <c r="F19" i="2"/>
  <c r="F18" i="2"/>
  <c r="F16" i="2"/>
  <c r="F12" i="2"/>
  <c r="F12" i="3"/>
  <c r="F13" i="3"/>
  <c r="F14" i="3"/>
  <c r="F15" i="3"/>
  <c r="F17" i="3"/>
  <c r="F19" i="3"/>
  <c r="F20" i="3"/>
  <c r="F21" i="3"/>
  <c r="F23" i="3"/>
  <c r="F24" i="3"/>
  <c r="F25" i="3"/>
  <c r="F26" i="3"/>
  <c r="F28" i="3"/>
  <c r="F29" i="3"/>
  <c r="F30" i="3"/>
  <c r="F31" i="3"/>
  <c r="F32" i="3"/>
  <c r="F33" i="3"/>
  <c r="F16" i="4"/>
  <c r="F27" i="7"/>
  <c r="F17" i="7"/>
  <c r="I42" i="7" l="1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F13" i="7"/>
  <c r="I12" i="7"/>
  <c r="I43" i="7" s="1"/>
  <c r="F12" i="7"/>
  <c r="F129" i="2" l="1"/>
  <c r="F95" i="2"/>
  <c r="F88" i="2"/>
  <c r="F86" i="2"/>
  <c r="F84" i="2"/>
  <c r="F53" i="2"/>
  <c r="F36" i="2"/>
  <c r="F38" i="1" l="1"/>
  <c r="F36" i="1"/>
  <c r="F31" i="1"/>
  <c r="F27" i="1"/>
  <c r="F24" i="1"/>
  <c r="F16" i="1"/>
  <c r="I15" i="1" l="1"/>
  <c r="F126" i="2" l="1"/>
  <c r="I126" i="2" s="1"/>
  <c r="I125" i="2"/>
  <c r="I100" i="2"/>
  <c r="I99" i="2"/>
  <c r="I98" i="2"/>
  <c r="I97" i="2"/>
  <c r="I96" i="2"/>
  <c r="I93" i="2"/>
  <c r="I88" i="2"/>
  <c r="F87" i="2"/>
  <c r="I87" i="2" s="1"/>
  <c r="I84" i="2"/>
  <c r="F83" i="2"/>
  <c r="I83" i="2" s="1"/>
  <c r="I79" i="2"/>
  <c r="F77" i="2"/>
  <c r="I77" i="2" s="1"/>
  <c r="I75" i="2"/>
  <c r="I74" i="2"/>
  <c r="I70" i="2"/>
  <c r="I65" i="2"/>
  <c r="I62" i="2"/>
  <c r="I61" i="2"/>
  <c r="I58" i="2"/>
  <c r="I56" i="2"/>
  <c r="I51" i="2"/>
  <c r="I48" i="2"/>
  <c r="I47" i="2"/>
  <c r="I41" i="2"/>
  <c r="I35" i="2"/>
  <c r="I33" i="2"/>
  <c r="I31" i="2"/>
  <c r="I24" i="2"/>
  <c r="F22" i="2"/>
  <c r="I22" i="2" s="1"/>
  <c r="I21" i="2"/>
  <c r="I19" i="2"/>
  <c r="F17" i="2"/>
  <c r="I17" i="2" s="1"/>
  <c r="I16" i="2"/>
  <c r="F13" i="2"/>
  <c r="I13" i="2" s="1"/>
  <c r="I12" i="3"/>
  <c r="I14" i="3"/>
  <c r="I17" i="3"/>
  <c r="I20" i="3"/>
  <c r="I21" i="3"/>
  <c r="I25" i="3"/>
  <c r="I28" i="3"/>
  <c r="I30" i="3"/>
  <c r="I31" i="3"/>
  <c r="I32" i="3"/>
  <c r="I16" i="4"/>
  <c r="I17" i="4" s="1"/>
  <c r="I33" i="3"/>
  <c r="I29" i="3"/>
  <c r="I27" i="3"/>
  <c r="I26" i="3"/>
  <c r="I24" i="3"/>
  <c r="I23" i="3"/>
  <c r="I19" i="3"/>
  <c r="I18" i="3"/>
  <c r="I16" i="3"/>
  <c r="I15" i="3"/>
  <c r="I13" i="3"/>
  <c r="I129" i="2"/>
  <c r="F128" i="2"/>
  <c r="I128" i="2" s="1"/>
  <c r="I127" i="2"/>
  <c r="I124" i="2"/>
  <c r="I123" i="2"/>
  <c r="F122" i="2"/>
  <c r="I122" i="2" s="1"/>
  <c r="I121" i="2"/>
  <c r="I120" i="2"/>
  <c r="F119" i="2"/>
  <c r="I119" i="2" s="1"/>
  <c r="I118" i="2"/>
  <c r="I117" i="2"/>
  <c r="F116" i="2"/>
  <c r="I116" i="2" s="1"/>
  <c r="I115" i="2"/>
  <c r="I114" i="2"/>
  <c r="F113" i="2"/>
  <c r="I113" i="2" s="1"/>
  <c r="I112" i="2"/>
  <c r="I111" i="2"/>
  <c r="F110" i="2"/>
  <c r="I110" i="2" s="1"/>
  <c r="I109" i="2"/>
  <c r="I108" i="2"/>
  <c r="F107" i="2"/>
  <c r="I107" i="2" s="1"/>
  <c r="I106" i="2"/>
  <c r="I105" i="2"/>
  <c r="F104" i="2"/>
  <c r="I104" i="2" s="1"/>
  <c r="I103" i="2"/>
  <c r="I102" i="2"/>
  <c r="F101" i="2"/>
  <c r="I101" i="2" s="1"/>
  <c r="I95" i="2"/>
  <c r="F94" i="2"/>
  <c r="I94" i="2" s="1"/>
  <c r="I92" i="2"/>
  <c r="I91" i="2"/>
  <c r="I90" i="2"/>
  <c r="I89" i="2"/>
  <c r="I86" i="2"/>
  <c r="F85" i="2"/>
  <c r="I85" i="2" s="1"/>
  <c r="I82" i="2"/>
  <c r="I81" i="2"/>
  <c r="I80" i="2"/>
  <c r="I78" i="2"/>
  <c r="I76" i="2"/>
  <c r="I73" i="2"/>
  <c r="I72" i="2"/>
  <c r="I71" i="2"/>
  <c r="I69" i="2"/>
  <c r="I68" i="2"/>
  <c r="I67" i="2"/>
  <c r="I66" i="2"/>
  <c r="F64" i="2"/>
  <c r="I64" i="2" s="1"/>
  <c r="I63" i="2"/>
  <c r="I60" i="2"/>
  <c r="F59" i="2"/>
  <c r="I59" i="2" s="1"/>
  <c r="I57" i="2"/>
  <c r="I55" i="2"/>
  <c r="I54" i="2"/>
  <c r="I53" i="2"/>
  <c r="I52" i="2"/>
  <c r="I50" i="2"/>
  <c r="I49" i="2"/>
  <c r="I46" i="2"/>
  <c r="I45" i="2"/>
  <c r="I44" i="2"/>
  <c r="I43" i="2"/>
  <c r="I42" i="2"/>
  <c r="I40" i="2"/>
  <c r="I39" i="2"/>
  <c r="I38" i="2"/>
  <c r="I37" i="2"/>
  <c r="I36" i="2"/>
  <c r="I34" i="2"/>
  <c r="I32" i="2"/>
  <c r="I30" i="2"/>
  <c r="I29" i="2"/>
  <c r="I28" i="2"/>
  <c r="I27" i="2"/>
  <c r="I26" i="2"/>
  <c r="I25" i="2"/>
  <c r="I23" i="2"/>
  <c r="I20" i="2"/>
  <c r="I18" i="2"/>
  <c r="I15" i="2"/>
  <c r="I14" i="2"/>
  <c r="I12" i="2"/>
  <c r="I34" i="3" l="1"/>
  <c r="I130" i="2"/>
  <c r="I39" i="1" l="1"/>
  <c r="I38" i="1"/>
  <c r="I37" i="1"/>
  <c r="I36" i="1"/>
  <c r="F35" i="1"/>
  <c r="I35" i="1" s="1"/>
  <c r="I34" i="1"/>
  <c r="I33" i="1"/>
  <c r="I32" i="1"/>
  <c r="I31" i="1"/>
  <c r="F30" i="1"/>
  <c r="I30" i="1" s="1"/>
  <c r="I29" i="1"/>
  <c r="F28" i="1"/>
  <c r="I28" i="1" s="1"/>
  <c r="I27" i="1"/>
  <c r="I26" i="1"/>
  <c r="I25" i="1"/>
  <c r="I24" i="1"/>
  <c r="I23" i="1"/>
  <c r="F22" i="1"/>
  <c r="I22" i="1" s="1"/>
  <c r="I21" i="1"/>
  <c r="I20" i="1"/>
  <c r="I19" i="1"/>
  <c r="I18" i="1"/>
  <c r="I17" i="1"/>
  <c r="I16" i="1"/>
  <c r="I14" i="1"/>
  <c r="I13" i="1"/>
  <c r="F12" i="1"/>
  <c r="I12" i="1" s="1"/>
  <c r="I40" i="1" l="1"/>
</calcChain>
</file>

<file path=xl/sharedStrings.xml><?xml version="1.0" encoding="utf-8"?>
<sst xmlns="http://schemas.openxmlformats.org/spreadsheetml/2006/main" count="694" uniqueCount="334">
  <si>
    <t xml:space="preserve">                                                    </t>
  </si>
  <si>
    <t>DIRECCION GENERAL DE SEGURIDAD Y TRANSITO DE TRANSPORTE TERRESTRE</t>
  </si>
  <si>
    <t>No.</t>
  </si>
  <si>
    <t>FECHA DE ADQUISICION Y REGISTRO</t>
  </si>
  <si>
    <t>FECHA DE  REGISTRO</t>
  </si>
  <si>
    <t>CODIGO INST.</t>
  </si>
  <si>
    <t>DESCRIPCION</t>
  </si>
  <si>
    <t>CANTIDAD</t>
  </si>
  <si>
    <t>PRECIO UNITARIO</t>
  </si>
  <si>
    <t>TOTAL CANT.</t>
  </si>
  <si>
    <t>03038</t>
  </si>
  <si>
    <t>KIT DE BENGALAS REFLECTIVAS</t>
  </si>
  <si>
    <t>U/D</t>
  </si>
  <si>
    <t>03003</t>
  </si>
  <si>
    <t>BASTON DE TRAFICO CON LUCES LED MULTIUSOS</t>
  </si>
  <si>
    <t>03005</t>
  </si>
  <si>
    <t>BANDERAS NACIONAL 4 X 6 (GRANDE)</t>
  </si>
  <si>
    <t>03008</t>
  </si>
  <si>
    <t>BOTAS TIPO MOTORIZADAS ALTAS</t>
  </si>
  <si>
    <t>BOTAS TIPO POLICIAL O MILITAR</t>
  </si>
  <si>
    <t>03009</t>
  </si>
  <si>
    <t>CAMISAS MANGA CORTA</t>
  </si>
  <si>
    <t>03010</t>
  </si>
  <si>
    <t xml:space="preserve">CAMISAS MANGAS LARGAS </t>
  </si>
  <si>
    <t>03040</t>
  </si>
  <si>
    <t>CAMISETAS COLOR BLANCO</t>
  </si>
  <si>
    <t>03028</t>
  </si>
  <si>
    <t>CALZONCILLOS TIPO BOXER</t>
  </si>
  <si>
    <t>03035</t>
  </si>
  <si>
    <t>CINTURONES CON SUS ACCESORIAS</t>
  </si>
  <si>
    <t>03015</t>
  </si>
  <si>
    <t>CORREAS NYLON NEGRA SIN HEBILLA</t>
  </si>
  <si>
    <t>03016</t>
  </si>
  <si>
    <t>CORBATAS NEGRA</t>
  </si>
  <si>
    <t>03020</t>
  </si>
  <si>
    <t xml:space="preserve">CHAMACOS GRIS CON SU GORRAS </t>
  </si>
  <si>
    <t xml:space="preserve">CHAMACO DE FAENA PARA ENTRENAMIENTO </t>
  </si>
  <si>
    <t>03022</t>
  </si>
  <si>
    <t>GORRAS VERDES DIGESETT</t>
  </si>
  <si>
    <t>03045</t>
  </si>
  <si>
    <t>GUANTES REFLECTIVOS</t>
  </si>
  <si>
    <t>OVEROL DIGESETT PARA GRUEROS</t>
  </si>
  <si>
    <t>03027</t>
  </si>
  <si>
    <t>03041</t>
  </si>
  <si>
    <t>PARES DE MEDIAS FINAS COLOR NEGRO</t>
  </si>
  <si>
    <t>03039</t>
  </si>
  <si>
    <t>PITO CON PORTA PITO Y CADENA PARA PITO</t>
  </si>
  <si>
    <t>03048</t>
  </si>
  <si>
    <t xml:space="preserve">SOGA DE NYLON 10MM, VARIOS COLORES </t>
  </si>
  <si>
    <t>ROLLO</t>
  </si>
  <si>
    <t>03044</t>
  </si>
  <si>
    <t>FRAZADA DE LANA TIPO MILITAR</t>
  </si>
  <si>
    <t>03018</t>
  </si>
  <si>
    <t>JUEGO DE CUBRE COLCHON Y FORRO DE ALMOHADAS</t>
  </si>
  <si>
    <t>03007</t>
  </si>
  <si>
    <t>ZAPATOS TIPO POLICIAL O MILITAR</t>
  </si>
  <si>
    <t xml:space="preserve">COLCHONES DE GOMA TIPO MILITAR </t>
  </si>
  <si>
    <t>TOTAL FINAL $</t>
  </si>
  <si>
    <t xml:space="preserve">                                                          </t>
  </si>
  <si>
    <t xml:space="preserve"> INVENTARIO MATERIALES DE OFICINA</t>
  </si>
  <si>
    <t xml:space="preserve">No. </t>
  </si>
  <si>
    <t>FECHA ADQUISICION /  REGISTRO</t>
  </si>
  <si>
    <t>PRECIOS UNIT.</t>
  </si>
  <si>
    <t>02092</t>
  </si>
  <si>
    <t xml:space="preserve">ARCHIVO ACORDEON 8 1/2 X 11 </t>
  </si>
  <si>
    <t>ARCHIVO ACORDEON 8 1/2 X 14</t>
  </si>
  <si>
    <t>02106</t>
  </si>
  <si>
    <t xml:space="preserve">ARGOLLAS </t>
  </si>
  <si>
    <t>02002</t>
  </si>
  <si>
    <t>BANDA ELASTICAS</t>
  </si>
  <si>
    <t>02094</t>
  </si>
  <si>
    <t>BINDER NO. 10 COLOR VERDE</t>
  </si>
  <si>
    <t>02108</t>
  </si>
  <si>
    <t>BOLIGRAFOS EN GEL</t>
  </si>
  <si>
    <t>02003</t>
  </si>
  <si>
    <t xml:space="preserve">BOLIGRAFOS </t>
  </si>
  <si>
    <t>02109</t>
  </si>
  <si>
    <t xml:space="preserve">BORRAS </t>
  </si>
  <si>
    <t>02163</t>
  </si>
  <si>
    <t>CERA PARA CONTAR</t>
  </si>
  <si>
    <t>02117</t>
  </si>
  <si>
    <t>CINTA A COLOR YMCKO EVOLIS HIGHTRST</t>
  </si>
  <si>
    <t>02096</t>
  </si>
  <si>
    <t>CINTA ADHESIVA</t>
  </si>
  <si>
    <t xml:space="preserve">CINTA DE EMPAQUE </t>
  </si>
  <si>
    <t>02118</t>
  </si>
  <si>
    <t xml:space="preserve">CHINCHETAS </t>
  </si>
  <si>
    <t>CAJAS</t>
  </si>
  <si>
    <t>02119</t>
  </si>
  <si>
    <t>CLIP NO.1</t>
  </si>
  <si>
    <t>02028</t>
  </si>
  <si>
    <t xml:space="preserve">CLIPS PEQUEÑOS </t>
  </si>
  <si>
    <t>02029</t>
  </si>
  <si>
    <t>CLIPS GRANDES</t>
  </si>
  <si>
    <t>02120</t>
  </si>
  <si>
    <t>CLIP BILLETERO NO.1</t>
  </si>
  <si>
    <t>02031</t>
  </si>
  <si>
    <t>CLIPS BILLETEROS GRAND.</t>
  </si>
  <si>
    <t>02121</t>
  </si>
  <si>
    <t>CLIP BILLETERO NO.2</t>
  </si>
  <si>
    <t>02033</t>
  </si>
  <si>
    <t xml:space="preserve">DISPENSADOR DE CINTAS </t>
  </si>
  <si>
    <t>02124</t>
  </si>
  <si>
    <t>FOLDERS MANILA 8 1/2 X 11   1/100</t>
  </si>
  <si>
    <t>02125</t>
  </si>
  <si>
    <t>FOLDERS MANILA 8 1/2 X 14   1/100</t>
  </si>
  <si>
    <t>02122</t>
  </si>
  <si>
    <t>FOLDERS PARTITION DE 6 DIV. AZUL 1/16</t>
  </si>
  <si>
    <t>FOLDERS PARTITION DE 6 DIV. ROJO 1/16</t>
  </si>
  <si>
    <t>02039</t>
  </si>
  <si>
    <t>GANCHO DE CARPETA MACHO Y HEMBRA</t>
  </si>
  <si>
    <t>02042</t>
  </si>
  <si>
    <t>GRAPA 0.25</t>
  </si>
  <si>
    <t xml:space="preserve">GRAPAS GRANDES </t>
  </si>
  <si>
    <t>02044</t>
  </si>
  <si>
    <t>LAPIZ</t>
  </si>
  <si>
    <t>02160</t>
  </si>
  <si>
    <t>LABEL ADHESIVO PARA FOLDER 10/1</t>
  </si>
  <si>
    <t xml:space="preserve">LABEL ADHESIVO PARA FOLDER </t>
  </si>
  <si>
    <t>02128</t>
  </si>
  <si>
    <t>LIBRO RECORD 300 PAG.</t>
  </si>
  <si>
    <t>02045</t>
  </si>
  <si>
    <t>LIBRETAS RAYADAS 8 1/2 X 11</t>
  </si>
  <si>
    <t>02046</t>
  </si>
  <si>
    <t>LIBRETA RAYADA 5*8</t>
  </si>
  <si>
    <t>02129</t>
  </si>
  <si>
    <t xml:space="preserve">MARCADORES </t>
  </si>
  <si>
    <t>02049</t>
  </si>
  <si>
    <t>PAPEL PLOTERS 36 x 150´´</t>
  </si>
  <si>
    <t>PAPEL PLOTERS 11X17</t>
  </si>
  <si>
    <t>RESMA</t>
  </si>
  <si>
    <t>02052</t>
  </si>
  <si>
    <t>PAPEL BOND 8 1/2 X 11 BLANCO</t>
  </si>
  <si>
    <t>02053</t>
  </si>
  <si>
    <t>PAPEL BOND 8 1/2 X 14 BLANCO</t>
  </si>
  <si>
    <t>02130</t>
  </si>
  <si>
    <t>PERFORADORA DE DOS HOYOS</t>
  </si>
  <si>
    <t>02131</t>
  </si>
  <si>
    <t>PERFORADORA DE TRES HOYOS</t>
  </si>
  <si>
    <t>02100</t>
  </si>
  <si>
    <t xml:space="preserve">PORTA CLIP </t>
  </si>
  <si>
    <t>02056</t>
  </si>
  <si>
    <t>PORTA LAPIZ</t>
  </si>
  <si>
    <t>02057</t>
  </si>
  <si>
    <t>POSTIT GRANDE 3X5</t>
  </si>
  <si>
    <t>02058</t>
  </si>
  <si>
    <t>POSTIT MEDIANO 3X3</t>
  </si>
  <si>
    <t>02101</t>
  </si>
  <si>
    <t>POSTIT MEDIANO 2X3</t>
  </si>
  <si>
    <t>02060</t>
  </si>
  <si>
    <t>REGLA 12"</t>
  </si>
  <si>
    <t>02054</t>
  </si>
  <si>
    <t>ROLLO DE PAPEL SUMADORA</t>
  </si>
  <si>
    <t>02061</t>
  </si>
  <si>
    <t>SACAPUNTAS</t>
  </si>
  <si>
    <t>02134</t>
  </si>
  <si>
    <t>SOBRES TIMBRADO NO. 10</t>
  </si>
  <si>
    <t>SOBRES EN HILO TIMBRADO NO. 10</t>
  </si>
  <si>
    <t>CAJA</t>
  </si>
  <si>
    <t>02133</t>
  </si>
  <si>
    <t>SOBRE MANILA 9X12 500/1</t>
  </si>
  <si>
    <t>02064</t>
  </si>
  <si>
    <t>SOBRE MANILA NO.7 100/1</t>
  </si>
  <si>
    <t>02135</t>
  </si>
  <si>
    <t>TABLA DE CHEQUEO</t>
  </si>
  <si>
    <t>02066</t>
  </si>
  <si>
    <t xml:space="preserve">TALONARIOS SALIDA  DE ALMACEN </t>
  </si>
  <si>
    <t xml:space="preserve"> 27/12/2019</t>
  </si>
  <si>
    <t>02067</t>
  </si>
  <si>
    <t>TALONARIOS DE PEDIDO DE ALMACEN</t>
  </si>
  <si>
    <t>02102</t>
  </si>
  <si>
    <t xml:space="preserve">TINTA PARA  SELLOS </t>
  </si>
  <si>
    <t>02009</t>
  </si>
  <si>
    <t>CARTUCHO CYAN(4836A)</t>
  </si>
  <si>
    <t>02010</t>
  </si>
  <si>
    <t>CARTUCHO MARGETA(4837A)</t>
  </si>
  <si>
    <t>02011</t>
  </si>
  <si>
    <t>CARTUCHO YELLOW(4838A)</t>
  </si>
  <si>
    <t>02136</t>
  </si>
  <si>
    <t xml:space="preserve">TONER HP CE285A </t>
  </si>
  <si>
    <t>02137</t>
  </si>
  <si>
    <t xml:space="preserve">TONER HP CF217A </t>
  </si>
  <si>
    <t>02138</t>
  </si>
  <si>
    <t xml:space="preserve">TONER HP CF283A </t>
  </si>
  <si>
    <t>02140</t>
  </si>
  <si>
    <t xml:space="preserve">TONER HP CB2435A </t>
  </si>
  <si>
    <t>02139</t>
  </si>
  <si>
    <t>02142</t>
  </si>
  <si>
    <t xml:space="preserve">TINTA EPSON T544 BLACK  </t>
  </si>
  <si>
    <t>02143</t>
  </si>
  <si>
    <t xml:space="preserve">TINTA EPSON T544 CYAN  </t>
  </si>
  <si>
    <t>02144</t>
  </si>
  <si>
    <t xml:space="preserve">TINTA EPSON T544 YELLOW </t>
  </si>
  <si>
    <t>02145</t>
  </si>
  <si>
    <t>TINTA EPSON T544 MAGENTA</t>
  </si>
  <si>
    <t>02146</t>
  </si>
  <si>
    <t xml:space="preserve">TINTA EPSON T664 BLACK </t>
  </si>
  <si>
    <t>02147</t>
  </si>
  <si>
    <t>TINTA EPSON T664 CYAN</t>
  </si>
  <si>
    <t>02148</t>
  </si>
  <si>
    <t>TINTA EPSON T664  YELLOW</t>
  </si>
  <si>
    <t>02149</t>
  </si>
  <si>
    <t>TINTA EPSON T664  MAGENTA</t>
  </si>
  <si>
    <t>02154</t>
  </si>
  <si>
    <t>TINTA 51 BLACK</t>
  </si>
  <si>
    <t>02155</t>
  </si>
  <si>
    <t>TINTA 51 CYAN</t>
  </si>
  <si>
    <t>02156</t>
  </si>
  <si>
    <t>TINTA 52 MAGENTA</t>
  </si>
  <si>
    <t>02157</t>
  </si>
  <si>
    <t>TINTA 52 YELLOW</t>
  </si>
  <si>
    <t>02099</t>
  </si>
  <si>
    <t>PAPEL TIMBRADO 8 1/2 X 14</t>
  </si>
  <si>
    <t>02050</t>
  </si>
  <si>
    <t xml:space="preserve">PAPEL TIMBRADO 8 1/2 X 11 </t>
  </si>
  <si>
    <t>TONER HP 278 A</t>
  </si>
  <si>
    <t xml:space="preserve"> INVENTARIO MATERIALES DE LIMPIEZA</t>
  </si>
  <si>
    <t>FECHA DE ADQUISICION /  REGISTRO</t>
  </si>
  <si>
    <t>PRECIO UD</t>
  </si>
  <si>
    <t>01023</t>
  </si>
  <si>
    <t>AMBIENTADOR EN SPRAY</t>
  </si>
  <si>
    <t>01003</t>
  </si>
  <si>
    <t>DETERGENTE EN POLVO</t>
  </si>
  <si>
    <t>SACO</t>
  </si>
  <si>
    <t>01034</t>
  </si>
  <si>
    <t>BRILLO VERDE 10/1</t>
  </si>
  <si>
    <t>PAQT.</t>
  </si>
  <si>
    <t>01004</t>
  </si>
  <si>
    <t>CEPILLO DE PARED</t>
  </si>
  <si>
    <t>01005</t>
  </si>
  <si>
    <t>CUBETAS PLASTICAS</t>
  </si>
  <si>
    <t xml:space="preserve">CLORO </t>
  </si>
  <si>
    <t>GLS</t>
  </si>
  <si>
    <t>01025</t>
  </si>
  <si>
    <t>01030</t>
  </si>
  <si>
    <t>DESGRASANTE</t>
  </si>
  <si>
    <t>GAL</t>
  </si>
  <si>
    <t>DESINFECTANTE LIQUIDO</t>
  </si>
  <si>
    <t>01028</t>
  </si>
  <si>
    <t>ESCOBA PLASTICA CON PALO DE MD.</t>
  </si>
  <si>
    <t>01032</t>
  </si>
  <si>
    <t>GUANTES DE LIMPIEZA</t>
  </si>
  <si>
    <t>PAR</t>
  </si>
  <si>
    <t>01026</t>
  </si>
  <si>
    <t xml:space="preserve">JABON LIQUIDO </t>
  </si>
  <si>
    <t>01031</t>
  </si>
  <si>
    <t xml:space="preserve">LANILLA DE ALGODÓN </t>
  </si>
  <si>
    <t>YD</t>
  </si>
  <si>
    <t>LIMPIADOR DE CERAMICA</t>
  </si>
  <si>
    <t>PAPEL TOALLA JUMBO 6/1</t>
  </si>
  <si>
    <t>19/12/2023</t>
  </si>
  <si>
    <t>01029</t>
  </si>
  <si>
    <t>PAPEL HIGIENICO 12/1</t>
  </si>
  <si>
    <t>01017</t>
  </si>
  <si>
    <t xml:space="preserve">RECOGEDOR DE BASURA </t>
  </si>
  <si>
    <t>01040</t>
  </si>
  <si>
    <t xml:space="preserve">SUAPER </t>
  </si>
  <si>
    <t>01018</t>
  </si>
  <si>
    <t>SERVILLETAS</t>
  </si>
  <si>
    <t>FALDO</t>
  </si>
  <si>
    <t>01021</t>
  </si>
  <si>
    <t>ZAFACON DE BANO</t>
  </si>
  <si>
    <t xml:space="preserve"> INVENTARIO DE PRODUCTOS DE SALUD  </t>
  </si>
  <si>
    <t>GEL ANTIBACTERIAL</t>
  </si>
  <si>
    <t xml:space="preserve">INVENTARIO PRENDAS DE VESTIR </t>
  </si>
  <si>
    <t>ÁNGEL RAMÓN VICENTE JEREZ</t>
  </si>
  <si>
    <t>Capitán, P.N.</t>
  </si>
  <si>
    <r>
      <t xml:space="preserve">Encargado de la División de Almacén y Suministro, </t>
    </r>
    <r>
      <rPr>
        <b/>
        <sz val="12"/>
        <color theme="1"/>
        <rFont val="Arial"/>
        <family val="2"/>
      </rPr>
      <t>DIGESETT</t>
    </r>
    <r>
      <rPr>
        <sz val="12"/>
        <color theme="1"/>
        <rFont val="Arial"/>
        <family val="2"/>
      </rPr>
      <t>.</t>
    </r>
  </si>
  <si>
    <t>VJ. -</t>
  </si>
  <si>
    <t>DJ. -</t>
  </si>
  <si>
    <t>BANDERAS INSTITUCIONALES 4 X 6 (GRANDE)</t>
  </si>
  <si>
    <t>03004</t>
  </si>
  <si>
    <t>05001</t>
  </si>
  <si>
    <t xml:space="preserve">CENTELLAS BARRAS DE LUCES </t>
  </si>
  <si>
    <t>05002</t>
  </si>
  <si>
    <t>SISTEMA DE ALTOPARLANTE</t>
  </si>
  <si>
    <t>JUEGO DE PANTALLA DELANTERO, CAMIONETA TOYOTA HILUX 2014</t>
  </si>
  <si>
    <t>JUEGO DE BANDAS DE FRENOS DELANTERAS, GRUA ISUZU</t>
  </si>
  <si>
    <t>JUEGO DE EPARRAGOS DELANTERO L, GRUA ISUZU</t>
  </si>
  <si>
    <t>JUEDO DE EPARRAGOS DELANTERO R, GRUA ISUZU</t>
  </si>
  <si>
    <t>LUZ DIRECCIONAL L PUERTA IZQUIERDA, GRUA ISUZO</t>
  </si>
  <si>
    <t>LUZ DIRECCIONAL L PUERTA DERECHA, GRUA ISUZU</t>
  </si>
  <si>
    <t>PAR DE PANTALLAS DELANTERA CAMION HYNDAY 2016 Y GRUA HYNDAI 2022</t>
  </si>
  <si>
    <t>JUEGO ESQUINERO CAMION HYNDAI 2016 Y GRUA HYDAI 2022</t>
  </si>
  <si>
    <t>JUEGO DE BANDAS DELANTERAS CAMION HYNDAI 2016 Y GRUA HYDAI 2022</t>
  </si>
  <si>
    <t>JUEGO DE BANDAS FRENOS DELANTERAS CAMION HYNDAI 2016 Y GRUA HYDAI 2022</t>
  </si>
  <si>
    <t>JUEGO BANDA DE FRENO DELANTERA, CAMIONETA NISSAN FRONTIER 214 Y D25</t>
  </si>
  <si>
    <t>MANGUERA DE CALIPER LADO DERECHO, CAMIONETA MAZDA BT50 2018 Y 2021</t>
  </si>
  <si>
    <t>MANGUERA DE CALIPER, CAMIONETA MAZDA BT50 2018 Y 2021</t>
  </si>
  <si>
    <t>JUEGO DE BANDA DE FRENO TRASERA, CAMIONETA TOYOTA HILUX 2014</t>
  </si>
  <si>
    <t>JUEGO DE FAROLES TRACEROS, CAMIONETA TOYOTA HILUX 2014</t>
  </si>
  <si>
    <t>TAPON RADIADOR, GRUA ISUZU</t>
  </si>
  <si>
    <t>PAR DE PANTALLA DELANTERA, GRUA ISUZU</t>
  </si>
  <si>
    <t>JUEGO DE ESQUINERO IZQUIERDO, GRUA ISUZU</t>
  </si>
  <si>
    <t>JUEGO DE BANDA DE FRENO DELANTERA, GRUA MITSUBISHI FUSON 2014</t>
  </si>
  <si>
    <t>JUEGOS DE FAROLES TRASEROS, GRUA MITSUBISHI FUSON 2014</t>
  </si>
  <si>
    <t>JUEGOS DE FAROLES DELANTERA, GRUA MITSUBISHI FUSON</t>
  </si>
  <si>
    <t>JUEGO DE BANDA DE FRENO DELANTERA, CAMIONETA MITSUBISHI L200 SPORETEO 2022</t>
  </si>
  <si>
    <t>LUZ TRASERA, GRUA ISUZU</t>
  </si>
  <si>
    <t>05003</t>
  </si>
  <si>
    <t>05012</t>
  </si>
  <si>
    <t>05013</t>
  </si>
  <si>
    <t>05004</t>
  </si>
  <si>
    <t>JUEGO BANDA DE FRENO DELANTERA, CAMIONETA TOYOTA HILUX 2014</t>
  </si>
  <si>
    <t>05005</t>
  </si>
  <si>
    <t>05006</t>
  </si>
  <si>
    <t>05015</t>
  </si>
  <si>
    <t>05014</t>
  </si>
  <si>
    <t>05019</t>
  </si>
  <si>
    <t>05022</t>
  </si>
  <si>
    <t>05007</t>
  </si>
  <si>
    <t>05016</t>
  </si>
  <si>
    <t>050018</t>
  </si>
  <si>
    <t>05008</t>
  </si>
  <si>
    <t>05020</t>
  </si>
  <si>
    <t>05009</t>
  </si>
  <si>
    <t>05029</t>
  </si>
  <si>
    <t>05030</t>
  </si>
  <si>
    <t>05031</t>
  </si>
  <si>
    <t>JUEGO DE EPARRAGOS TRASEROS L, GRUA ISUZU</t>
  </si>
  <si>
    <t>05032</t>
  </si>
  <si>
    <t>JUEGO DE EPARRAGOS TRASEROS R, GRUA ISUZU</t>
  </si>
  <si>
    <t>05023</t>
  </si>
  <si>
    <t>05024</t>
  </si>
  <si>
    <t>05021</t>
  </si>
  <si>
    <t>05025</t>
  </si>
  <si>
    <t>JUEGOS DE LUCES TRASERA CAMION HYNDAY 2022</t>
  </si>
  <si>
    <t>05027</t>
  </si>
  <si>
    <t>05010</t>
  </si>
  <si>
    <t>05011</t>
  </si>
  <si>
    <t>05028</t>
  </si>
  <si>
    <t>PATAS DE CLOCHES, CAMIONETA NISSAN FRONTIER 2014 Y D25</t>
  </si>
  <si>
    <t>05026</t>
  </si>
  <si>
    <t>INVENTARIO TRIMESTRAL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</si>
</sst>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/>
    <xf numFmtId="165" fontId="7" fillId="0" borderId="3" xfId="1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justify" vertical="center"/>
    </xf>
    <xf numFmtId="0" fontId="5" fillId="2" borderId="2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/>
    <xf numFmtId="43" fontId="7" fillId="0" borderId="3" xfId="1" applyFont="1" applyFill="1" applyBorder="1" applyAlignment="1">
      <alignment horizontal="center" vertical="center"/>
    </xf>
    <xf numFmtId="43" fontId="7" fillId="2" borderId="2" xfId="1" applyFont="1" applyFill="1" applyBorder="1"/>
    <xf numFmtId="43" fontId="7" fillId="0" borderId="3" xfId="1" applyFont="1" applyFill="1" applyBorder="1"/>
    <xf numFmtId="43" fontId="7" fillId="0" borderId="2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0" fontId="7" fillId="0" borderId="6" xfId="0" applyFont="1" applyBorder="1"/>
    <xf numFmtId="43" fontId="7" fillId="2" borderId="6" xfId="1" applyFont="1" applyFill="1" applyBorder="1"/>
    <xf numFmtId="43" fontId="7" fillId="0" borderId="2" xfId="1" applyFont="1" applyFill="1" applyBorder="1"/>
    <xf numFmtId="49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43" fontId="7" fillId="2" borderId="2" xfId="1" applyFont="1" applyFill="1" applyBorder="1" applyAlignment="1">
      <alignment horizontal="center" vertical="center"/>
    </xf>
    <xf numFmtId="0" fontId="8" fillId="2" borderId="5" xfId="0" applyFont="1" applyFill="1" applyBorder="1"/>
    <xf numFmtId="164" fontId="8" fillId="2" borderId="5" xfId="0" applyNumberFormat="1" applyFont="1" applyFill="1" applyBorder="1"/>
    <xf numFmtId="0" fontId="8" fillId="2" borderId="0" xfId="0" applyFont="1" applyFill="1"/>
    <xf numFmtId="164" fontId="8" fillId="2" borderId="0" xfId="0" applyNumberFormat="1" applyFont="1" applyFill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43" fontId="3" fillId="2" borderId="2" xfId="1" applyFont="1" applyFill="1" applyBorder="1"/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/>
    <xf numFmtId="0" fontId="5" fillId="2" borderId="2" xfId="0" applyFont="1" applyFill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43" fontId="3" fillId="0" borderId="2" xfId="1" applyFont="1" applyFill="1" applyBorder="1"/>
    <xf numFmtId="0" fontId="8" fillId="0" borderId="2" xfId="0" applyFont="1" applyBorder="1"/>
    <xf numFmtId="164" fontId="9" fillId="0" borderId="2" xfId="0" applyNumberFormat="1" applyFont="1" applyBorder="1"/>
    <xf numFmtId="165" fontId="7" fillId="0" borderId="2" xfId="1" applyNumberFormat="1" applyFont="1" applyFill="1" applyBorder="1" applyAlignment="1">
      <alignment horizontal="right" vertical="center"/>
    </xf>
    <xf numFmtId="164" fontId="8" fillId="0" borderId="2" xfId="0" applyNumberFormat="1" applyFont="1" applyBorder="1"/>
    <xf numFmtId="0" fontId="13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5" fillId="2" borderId="0" xfId="0" applyFont="1" applyFill="1"/>
    <xf numFmtId="165" fontId="2" fillId="0" borderId="0" xfId="0" applyNumberFormat="1" applyFont="1"/>
    <xf numFmtId="0" fontId="8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7" fontId="6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438151</xdr:colOff>
      <xdr:row>1</xdr:row>
      <xdr:rowOff>47626</xdr:rowOff>
    </xdr:from>
    <xdr:to>
      <xdr:col>4</xdr:col>
      <xdr:colOff>1752600</xdr:colOff>
      <xdr:row>7</xdr:row>
      <xdr:rowOff>12702</xdr:rowOff>
    </xdr:to>
    <xdr:pic>
      <xdr:nvPicPr>
        <xdr:cNvPr id="5" name="Imagen 4" descr="C:\Users\i.santiago\Desktop\Logo-DIGESETT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1" y="47626"/>
          <a:ext cx="1314449" cy="1108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706216</xdr:colOff>
      <xdr:row>0</xdr:row>
      <xdr:rowOff>163871</xdr:rowOff>
    </xdr:from>
    <xdr:ext cx="1294342" cy="1147302"/>
    <xdr:pic>
      <xdr:nvPicPr>
        <xdr:cNvPr id="3" name="Imagen 2" descr="C:\Users\i.santiago\Desktop\Logo-DIGESETT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184" y="163871"/>
          <a:ext cx="1294342" cy="114730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0</xdr:row>
      <xdr:rowOff>133351</xdr:rowOff>
    </xdr:from>
    <xdr:to>
      <xdr:col>4</xdr:col>
      <xdr:colOff>1983317</xdr:colOff>
      <xdr:row>6</xdr:row>
      <xdr:rowOff>152401</xdr:rowOff>
    </xdr:to>
    <xdr:pic>
      <xdr:nvPicPr>
        <xdr:cNvPr id="3" name="Imagen 2" descr="C:\Users\i.santiago\Desktop\Logo-DIGESETT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33351"/>
          <a:ext cx="1345142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5</xdr:row>
      <xdr:rowOff>76200</xdr:rowOff>
    </xdr:from>
    <xdr:to>
      <xdr:col>4</xdr:col>
      <xdr:colOff>1733550</xdr:colOff>
      <xdr:row>10</xdr:row>
      <xdr:rowOff>152400</xdr:rowOff>
    </xdr:to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76200"/>
          <a:ext cx="14192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952501</xdr:colOff>
      <xdr:row>1</xdr:row>
      <xdr:rowOff>76201</xdr:rowOff>
    </xdr:from>
    <xdr:to>
      <xdr:col>4</xdr:col>
      <xdr:colOff>2266950</xdr:colOff>
      <xdr:row>6</xdr:row>
      <xdr:rowOff>174627</xdr:rowOff>
    </xdr:to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266701"/>
          <a:ext cx="1314449" cy="1050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B59"/>
  <sheetViews>
    <sheetView topLeftCell="A16" zoomScale="87" zoomScaleNormal="87" workbookViewId="0">
      <selection activeCell="F34" sqref="F34"/>
    </sheetView>
  </sheetViews>
  <sheetFormatPr baseColWidth="10" defaultRowHeight="15" x14ac:dyDescent="0.25"/>
  <cols>
    <col min="1" max="1" width="4.140625" bestFit="1" customWidth="1"/>
    <col min="2" max="2" width="17.140625" customWidth="1"/>
    <col min="3" max="3" width="12.42578125" customWidth="1"/>
    <col min="4" max="4" width="14.28515625" customWidth="1"/>
    <col min="5" max="5" width="41.140625" customWidth="1"/>
    <col min="6" max="6" width="5" bestFit="1" customWidth="1"/>
    <col min="7" max="7" width="6" bestFit="1" customWidth="1"/>
    <col min="8" max="8" width="13.5703125" bestFit="1" customWidth="1"/>
    <col min="9" max="9" width="15.5703125" bestFit="1" customWidth="1"/>
    <col min="11" max="28" width="11.42578125" style="21"/>
  </cols>
  <sheetData>
    <row r="7" spans="1:14" x14ac:dyDescent="0.25">
      <c r="A7" s="86" t="s">
        <v>0</v>
      </c>
      <c r="B7" s="86"/>
      <c r="C7" s="86"/>
      <c r="D7" s="86"/>
      <c r="E7" s="86"/>
      <c r="F7" s="86"/>
      <c r="G7" s="86"/>
      <c r="H7" s="86"/>
      <c r="I7" s="86"/>
    </row>
    <row r="8" spans="1:14" ht="18.75" x14ac:dyDescent="0.3">
      <c r="A8" s="87" t="s">
        <v>1</v>
      </c>
      <c r="B8" s="87"/>
      <c r="C8" s="87"/>
      <c r="D8" s="87"/>
      <c r="E8" s="87"/>
      <c r="F8" s="87"/>
      <c r="G8" s="87"/>
      <c r="H8" s="87"/>
      <c r="I8" s="87"/>
    </row>
    <row r="9" spans="1:14" ht="15.75" x14ac:dyDescent="0.25">
      <c r="A9" s="88" t="s">
        <v>264</v>
      </c>
      <c r="B9" s="88"/>
      <c r="C9" s="88"/>
      <c r="D9" s="88"/>
      <c r="E9" s="88"/>
      <c r="F9" s="88"/>
      <c r="G9" s="88"/>
      <c r="H9" s="88"/>
      <c r="I9" s="88"/>
    </row>
    <row r="10" spans="1:14" ht="15.75" x14ac:dyDescent="0.25">
      <c r="A10" s="89" t="s">
        <v>333</v>
      </c>
      <c r="B10" s="89"/>
      <c r="C10" s="89"/>
      <c r="D10" s="89"/>
      <c r="E10" s="89"/>
      <c r="F10" s="89"/>
      <c r="G10" s="89"/>
      <c r="H10" s="89"/>
      <c r="I10" s="89"/>
    </row>
    <row r="11" spans="1:14" ht="47.25" x14ac:dyDescent="0.25">
      <c r="A11" s="1" t="s">
        <v>2</v>
      </c>
      <c r="B11" s="2" t="s">
        <v>3</v>
      </c>
      <c r="C11" s="3" t="s">
        <v>4</v>
      </c>
      <c r="D11" s="4" t="s">
        <v>5</v>
      </c>
      <c r="E11" s="5" t="s">
        <v>6</v>
      </c>
      <c r="F11" s="90" t="s">
        <v>7</v>
      </c>
      <c r="G11" s="91"/>
      <c r="H11" s="2" t="s">
        <v>8</v>
      </c>
      <c r="I11" s="6" t="s">
        <v>9</v>
      </c>
    </row>
    <row r="12" spans="1:14" x14ac:dyDescent="0.25">
      <c r="A12" s="7">
        <v>1</v>
      </c>
      <c r="B12" s="8">
        <v>44271</v>
      </c>
      <c r="C12" s="8">
        <v>44271</v>
      </c>
      <c r="D12" s="9" t="s">
        <v>10</v>
      </c>
      <c r="E12" s="10" t="s">
        <v>11</v>
      </c>
      <c r="F12" s="11">
        <f>35-21</f>
        <v>14</v>
      </c>
      <c r="G12" s="7" t="s">
        <v>12</v>
      </c>
      <c r="H12" s="22">
        <v>28143</v>
      </c>
      <c r="I12" s="78">
        <f t="shared" ref="I12:I32" si="0">F12*H12</f>
        <v>394002</v>
      </c>
      <c r="J12" s="21"/>
    </row>
    <row r="13" spans="1:14" ht="27" customHeight="1" x14ac:dyDescent="0.25">
      <c r="A13" s="7">
        <v>2</v>
      </c>
      <c r="B13" s="8">
        <v>45201</v>
      </c>
      <c r="C13" s="8">
        <v>45201</v>
      </c>
      <c r="D13" s="9" t="s">
        <v>13</v>
      </c>
      <c r="E13" s="10" t="s">
        <v>14</v>
      </c>
      <c r="F13" s="11">
        <f>250-16-11-10</f>
        <v>213</v>
      </c>
      <c r="G13" s="7" t="s">
        <v>12</v>
      </c>
      <c r="H13" s="22">
        <v>2483.9</v>
      </c>
      <c r="I13" s="78">
        <f t="shared" si="0"/>
        <v>529070.70000000007</v>
      </c>
      <c r="J13" s="21"/>
    </row>
    <row r="14" spans="1:14" x14ac:dyDescent="0.25">
      <c r="A14" s="7">
        <v>3</v>
      </c>
      <c r="B14" s="8">
        <v>45287</v>
      </c>
      <c r="C14" s="8">
        <v>45288</v>
      </c>
      <c r="D14" s="9" t="s">
        <v>271</v>
      </c>
      <c r="E14" s="10" t="s">
        <v>16</v>
      </c>
      <c r="F14" s="11">
        <f>32-2-21-5</f>
        <v>4</v>
      </c>
      <c r="G14" s="7" t="s">
        <v>12</v>
      </c>
      <c r="H14" s="22">
        <v>1770</v>
      </c>
      <c r="I14" s="78">
        <f t="shared" si="0"/>
        <v>7080</v>
      </c>
      <c r="J14" s="21"/>
    </row>
    <row r="15" spans="1:14" x14ac:dyDescent="0.25">
      <c r="A15" s="7">
        <v>4</v>
      </c>
      <c r="B15" s="8">
        <v>45321</v>
      </c>
      <c r="C15" s="8">
        <v>45321</v>
      </c>
      <c r="D15" s="9" t="s">
        <v>15</v>
      </c>
      <c r="E15" s="10" t="s">
        <v>270</v>
      </c>
      <c r="F15" s="11">
        <f>30-20-5</f>
        <v>5</v>
      </c>
      <c r="G15" s="7" t="s">
        <v>12</v>
      </c>
      <c r="H15" s="22">
        <v>4956</v>
      </c>
      <c r="I15" s="78">
        <f t="shared" si="0"/>
        <v>24780</v>
      </c>
      <c r="J15" s="21"/>
      <c r="N15" s="83"/>
    </row>
    <row r="16" spans="1:14" x14ac:dyDescent="0.25">
      <c r="A16" s="7">
        <v>6</v>
      </c>
      <c r="B16" s="8">
        <v>45000</v>
      </c>
      <c r="C16" s="8">
        <v>45000</v>
      </c>
      <c r="D16" s="9" t="s">
        <v>17</v>
      </c>
      <c r="E16" s="10" t="s">
        <v>18</v>
      </c>
      <c r="F16" s="11">
        <f>25-15-6</f>
        <v>4</v>
      </c>
      <c r="G16" s="7" t="s">
        <v>12</v>
      </c>
      <c r="H16" s="22">
        <v>28314.1</v>
      </c>
      <c r="I16" s="78">
        <f t="shared" si="0"/>
        <v>113256.4</v>
      </c>
      <c r="J16" s="21"/>
    </row>
    <row r="17" spans="1:10" x14ac:dyDescent="0.25">
      <c r="A17" s="7">
        <v>7</v>
      </c>
      <c r="B17" s="8">
        <v>45174</v>
      </c>
      <c r="C17" s="8">
        <v>45174</v>
      </c>
      <c r="D17" s="9" t="s">
        <v>17</v>
      </c>
      <c r="E17" s="10" t="s">
        <v>19</v>
      </c>
      <c r="F17" s="11">
        <f>250-21-197-23</f>
        <v>9</v>
      </c>
      <c r="G17" s="7" t="s">
        <v>12</v>
      </c>
      <c r="H17" s="22">
        <v>4850</v>
      </c>
      <c r="I17" s="78">
        <f t="shared" si="0"/>
        <v>43650</v>
      </c>
      <c r="J17" s="18"/>
    </row>
    <row r="18" spans="1:10" x14ac:dyDescent="0.25">
      <c r="A18" s="7">
        <v>9</v>
      </c>
      <c r="B18" s="8">
        <v>45240</v>
      </c>
      <c r="C18" s="8">
        <v>45240</v>
      </c>
      <c r="D18" s="9" t="s">
        <v>20</v>
      </c>
      <c r="E18" s="10" t="s">
        <v>21</v>
      </c>
      <c r="F18" s="11">
        <f>2000-128-427-491-402</f>
        <v>552</v>
      </c>
      <c r="G18" s="7" t="s">
        <v>12</v>
      </c>
      <c r="H18" s="22">
        <v>988.25</v>
      </c>
      <c r="I18" s="78">
        <f t="shared" si="0"/>
        <v>545514</v>
      </c>
      <c r="J18" s="21"/>
    </row>
    <row r="19" spans="1:10" x14ac:dyDescent="0.25">
      <c r="A19" s="7">
        <v>10</v>
      </c>
      <c r="B19" s="8">
        <v>45240</v>
      </c>
      <c r="C19" s="8">
        <v>45240</v>
      </c>
      <c r="D19" s="9" t="s">
        <v>22</v>
      </c>
      <c r="E19" s="10" t="s">
        <v>23</v>
      </c>
      <c r="F19" s="11">
        <f>1150-418+179-287-127</f>
        <v>497</v>
      </c>
      <c r="G19" s="7" t="s">
        <v>12</v>
      </c>
      <c r="H19" s="22">
        <v>1319.83</v>
      </c>
      <c r="I19" s="78">
        <f t="shared" si="0"/>
        <v>655955.51</v>
      </c>
      <c r="J19" s="21"/>
    </row>
    <row r="20" spans="1:10" x14ac:dyDescent="0.25">
      <c r="A20" s="7">
        <v>11</v>
      </c>
      <c r="B20" s="8">
        <v>45188</v>
      </c>
      <c r="C20" s="8">
        <v>45188</v>
      </c>
      <c r="D20" s="9" t="s">
        <v>24</v>
      </c>
      <c r="E20" s="10" t="s">
        <v>25</v>
      </c>
      <c r="F20" s="11">
        <f>2000-232-6-130-769-270-347-86</f>
        <v>160</v>
      </c>
      <c r="G20" s="7" t="s">
        <v>12</v>
      </c>
      <c r="H20" s="22">
        <v>234.79640000000001</v>
      </c>
      <c r="I20" s="78">
        <f t="shared" si="0"/>
        <v>37567.423999999999</v>
      </c>
      <c r="J20" s="21"/>
    </row>
    <row r="21" spans="1:10" x14ac:dyDescent="0.25">
      <c r="A21" s="7">
        <v>12</v>
      </c>
      <c r="B21" s="8">
        <v>45188</v>
      </c>
      <c r="C21" s="8">
        <v>45188</v>
      </c>
      <c r="D21" s="9" t="s">
        <v>26</v>
      </c>
      <c r="E21" s="10" t="s">
        <v>27</v>
      </c>
      <c r="F21" s="11">
        <f>1000-122-36-48-34-169-22</f>
        <v>569</v>
      </c>
      <c r="G21" s="7" t="s">
        <v>12</v>
      </c>
      <c r="H21" s="22">
        <v>207.99860000000001</v>
      </c>
      <c r="I21" s="78">
        <f t="shared" si="0"/>
        <v>118351.20340000001</v>
      </c>
      <c r="J21" s="21"/>
    </row>
    <row r="22" spans="1:10" x14ac:dyDescent="0.25">
      <c r="A22" s="7">
        <v>13</v>
      </c>
      <c r="B22" s="8">
        <v>44729</v>
      </c>
      <c r="C22" s="8">
        <v>44729</v>
      </c>
      <c r="D22" s="9" t="s">
        <v>28</v>
      </c>
      <c r="E22" s="10" t="s">
        <v>29</v>
      </c>
      <c r="F22" s="12">
        <f>297-43-30-10-15-116-1</f>
        <v>82</v>
      </c>
      <c r="G22" s="7" t="s">
        <v>12</v>
      </c>
      <c r="H22" s="22">
        <v>4165.3999999999996</v>
      </c>
      <c r="I22" s="78">
        <f t="shared" si="0"/>
        <v>341562.8</v>
      </c>
      <c r="J22" s="18"/>
    </row>
    <row r="23" spans="1:10" x14ac:dyDescent="0.25">
      <c r="A23" s="7">
        <v>14</v>
      </c>
      <c r="B23" s="8">
        <v>45201</v>
      </c>
      <c r="C23" s="8">
        <v>45201</v>
      </c>
      <c r="D23" s="9" t="s">
        <v>28</v>
      </c>
      <c r="E23" s="10" t="s">
        <v>29</v>
      </c>
      <c r="F23" s="12">
        <v>300</v>
      </c>
      <c r="G23" s="7" t="s">
        <v>12</v>
      </c>
      <c r="H23" s="22">
        <v>4167.9960000000001</v>
      </c>
      <c r="I23" s="78">
        <f t="shared" si="0"/>
        <v>1250398.8</v>
      </c>
      <c r="J23" s="18"/>
    </row>
    <row r="24" spans="1:10" x14ac:dyDescent="0.25">
      <c r="A24" s="7">
        <v>15</v>
      </c>
      <c r="B24" s="8">
        <v>41992</v>
      </c>
      <c r="C24" s="8">
        <v>41992</v>
      </c>
      <c r="D24" s="9" t="s">
        <v>30</v>
      </c>
      <c r="E24" s="10" t="s">
        <v>31</v>
      </c>
      <c r="F24" s="11">
        <f>194-17-2-10-86</f>
        <v>79</v>
      </c>
      <c r="G24" s="7" t="s">
        <v>12</v>
      </c>
      <c r="H24" s="22">
        <v>110</v>
      </c>
      <c r="I24" s="78">
        <f t="shared" si="0"/>
        <v>8690</v>
      </c>
      <c r="J24" s="21"/>
    </row>
    <row r="25" spans="1:10" x14ac:dyDescent="0.25">
      <c r="A25" s="7">
        <v>17</v>
      </c>
      <c r="B25" s="8">
        <v>42362</v>
      </c>
      <c r="C25" s="8">
        <v>42362</v>
      </c>
      <c r="D25" s="9" t="s">
        <v>32</v>
      </c>
      <c r="E25" s="10" t="s">
        <v>33</v>
      </c>
      <c r="F25" s="11">
        <f>844-7-1-2-275-8-8-1</f>
        <v>542</v>
      </c>
      <c r="G25" s="7" t="s">
        <v>12</v>
      </c>
      <c r="H25" s="22">
        <v>100</v>
      </c>
      <c r="I25" s="78">
        <f t="shared" si="0"/>
        <v>54200</v>
      </c>
      <c r="J25" s="21"/>
    </row>
    <row r="26" spans="1:10" x14ac:dyDescent="0.25">
      <c r="A26" s="7">
        <v>18</v>
      </c>
      <c r="B26" s="8">
        <v>45240</v>
      </c>
      <c r="C26" s="8">
        <v>45240</v>
      </c>
      <c r="D26" s="9" t="s">
        <v>32</v>
      </c>
      <c r="E26" s="10" t="s">
        <v>33</v>
      </c>
      <c r="F26" s="11">
        <v>200</v>
      </c>
      <c r="G26" s="7" t="s">
        <v>12</v>
      </c>
      <c r="H26" s="22">
        <v>193.52</v>
      </c>
      <c r="I26" s="78">
        <f t="shared" si="0"/>
        <v>38704</v>
      </c>
      <c r="J26" s="18"/>
    </row>
    <row r="27" spans="1:10" x14ac:dyDescent="0.25">
      <c r="A27" s="7">
        <v>19</v>
      </c>
      <c r="B27" s="8">
        <v>42777</v>
      </c>
      <c r="C27" s="8">
        <v>42777</v>
      </c>
      <c r="D27" s="9" t="s">
        <v>34</v>
      </c>
      <c r="E27" s="10" t="s">
        <v>35</v>
      </c>
      <c r="F27" s="11">
        <f>125-2-4-1-2-2-3-2-1-1-10-1-11-9</f>
        <v>76</v>
      </c>
      <c r="G27" s="7" t="s">
        <v>12</v>
      </c>
      <c r="H27" s="22">
        <v>2400</v>
      </c>
      <c r="I27" s="78">
        <f t="shared" si="0"/>
        <v>182400</v>
      </c>
      <c r="J27" s="18"/>
    </row>
    <row r="28" spans="1:10" x14ac:dyDescent="0.25">
      <c r="A28" s="7">
        <v>20</v>
      </c>
      <c r="B28" s="8">
        <v>45155</v>
      </c>
      <c r="C28" s="8">
        <v>45155</v>
      </c>
      <c r="D28" s="9" t="s">
        <v>34</v>
      </c>
      <c r="E28" s="10" t="s">
        <v>36</v>
      </c>
      <c r="F28" s="11">
        <f>600-562</f>
        <v>38</v>
      </c>
      <c r="G28" s="7" t="s">
        <v>12</v>
      </c>
      <c r="H28" s="22">
        <v>4047.4</v>
      </c>
      <c r="I28" s="78">
        <f t="shared" si="0"/>
        <v>153801.20000000001</v>
      </c>
      <c r="J28" s="18"/>
    </row>
    <row r="29" spans="1:10" x14ac:dyDescent="0.25">
      <c r="A29" s="7">
        <v>21</v>
      </c>
      <c r="B29" s="8">
        <v>45077</v>
      </c>
      <c r="C29" s="8">
        <v>45077</v>
      </c>
      <c r="D29" s="9" t="s">
        <v>37</v>
      </c>
      <c r="E29" s="10" t="s">
        <v>38</v>
      </c>
      <c r="F29" s="11">
        <f>4100-53-14-746-290-71-64-43-488-195-523-236</f>
        <v>1377</v>
      </c>
      <c r="G29" s="7" t="s">
        <v>12</v>
      </c>
      <c r="H29" s="22">
        <v>374.06</v>
      </c>
      <c r="I29" s="78">
        <f t="shared" si="0"/>
        <v>515080.62</v>
      </c>
      <c r="J29" s="21"/>
    </row>
    <row r="30" spans="1:10" x14ac:dyDescent="0.25">
      <c r="A30" s="7">
        <v>22</v>
      </c>
      <c r="B30" s="13">
        <v>44538</v>
      </c>
      <c r="C30" s="13">
        <v>44538</v>
      </c>
      <c r="D30" s="14" t="s">
        <v>39</v>
      </c>
      <c r="E30" s="15" t="s">
        <v>40</v>
      </c>
      <c r="F30" s="16">
        <f>650-388-22-9-15-25-39-4</f>
        <v>148</v>
      </c>
      <c r="G30" s="7" t="s">
        <v>12</v>
      </c>
      <c r="H30" s="22">
        <v>808.3</v>
      </c>
      <c r="I30" s="78">
        <f t="shared" si="0"/>
        <v>119628.4</v>
      </c>
      <c r="J30" s="18"/>
    </row>
    <row r="31" spans="1:10" x14ac:dyDescent="0.25">
      <c r="A31" s="7">
        <v>23</v>
      </c>
      <c r="B31" s="13">
        <v>45288</v>
      </c>
      <c r="C31" s="13">
        <v>45288</v>
      </c>
      <c r="D31" s="14" t="s">
        <v>39</v>
      </c>
      <c r="E31" s="15" t="s">
        <v>40</v>
      </c>
      <c r="F31" s="16">
        <f>300-70-30</f>
        <v>200</v>
      </c>
      <c r="G31" s="7" t="s">
        <v>12</v>
      </c>
      <c r="H31" s="22">
        <v>812.9</v>
      </c>
      <c r="I31" s="78">
        <f t="shared" si="0"/>
        <v>162580</v>
      </c>
      <c r="J31" s="21"/>
    </row>
    <row r="32" spans="1:10" x14ac:dyDescent="0.25">
      <c r="A32" s="7">
        <v>25</v>
      </c>
      <c r="B32" s="8">
        <v>45287</v>
      </c>
      <c r="C32" s="8">
        <v>45288</v>
      </c>
      <c r="D32" s="9" t="s">
        <v>42</v>
      </c>
      <c r="E32" s="10" t="s">
        <v>41</v>
      </c>
      <c r="F32" s="11">
        <f>227-48-22-13</f>
        <v>144</v>
      </c>
      <c r="G32" s="11" t="s">
        <v>12</v>
      </c>
      <c r="H32" s="22">
        <v>4439.9977973568002</v>
      </c>
      <c r="I32" s="78">
        <f t="shared" si="0"/>
        <v>639359.68281937926</v>
      </c>
      <c r="J32" s="21"/>
    </row>
    <row r="33" spans="1:28" x14ac:dyDescent="0.25">
      <c r="A33" s="7">
        <v>27</v>
      </c>
      <c r="B33" s="8">
        <v>45188</v>
      </c>
      <c r="C33" s="8">
        <v>45188</v>
      </c>
      <c r="D33" s="9" t="s">
        <v>43</v>
      </c>
      <c r="E33" s="10" t="s">
        <v>44</v>
      </c>
      <c r="F33" s="16">
        <f>1000-60-26-123-134</f>
        <v>657</v>
      </c>
      <c r="G33" s="7" t="s">
        <v>12</v>
      </c>
      <c r="H33" s="22">
        <v>167.14699999999999</v>
      </c>
      <c r="I33" s="78">
        <f>F33*H33</f>
        <v>109815.579</v>
      </c>
      <c r="J33" s="21"/>
    </row>
    <row r="34" spans="1:28" x14ac:dyDescent="0.25">
      <c r="A34" s="7">
        <v>29</v>
      </c>
      <c r="B34" s="8">
        <v>45260</v>
      </c>
      <c r="C34" s="8">
        <v>45260</v>
      </c>
      <c r="D34" s="9" t="s">
        <v>45</v>
      </c>
      <c r="E34" s="10" t="s">
        <v>46</v>
      </c>
      <c r="F34" s="16">
        <f>300-164-76</f>
        <v>60</v>
      </c>
      <c r="G34" s="7" t="s">
        <v>12</v>
      </c>
      <c r="H34" s="22">
        <v>1465.56</v>
      </c>
      <c r="I34" s="78">
        <f>F34*H34</f>
        <v>87933.599999999991</v>
      </c>
      <c r="J34" s="18"/>
    </row>
    <row r="35" spans="1:28" x14ac:dyDescent="0.25">
      <c r="A35" s="7">
        <v>30</v>
      </c>
      <c r="B35" s="8">
        <v>44736</v>
      </c>
      <c r="C35" s="8">
        <v>44736</v>
      </c>
      <c r="D35" s="9" t="s">
        <v>47</v>
      </c>
      <c r="E35" s="10" t="s">
        <v>48</v>
      </c>
      <c r="F35" s="11">
        <f>217.3-43.3-3-30-12-6-5</f>
        <v>118</v>
      </c>
      <c r="G35" s="7" t="s">
        <v>49</v>
      </c>
      <c r="H35" s="22">
        <v>5654.2797975100002</v>
      </c>
      <c r="I35" s="78">
        <f>+F35*H35</f>
        <v>667205.01610618003</v>
      </c>
      <c r="J35" s="18"/>
    </row>
    <row r="36" spans="1:28" x14ac:dyDescent="0.25">
      <c r="A36" s="7">
        <v>31</v>
      </c>
      <c r="B36" s="8">
        <v>44714</v>
      </c>
      <c r="C36" s="8">
        <v>44714</v>
      </c>
      <c r="D36" s="9" t="s">
        <v>50</v>
      </c>
      <c r="E36" s="10" t="s">
        <v>51</v>
      </c>
      <c r="F36" s="11">
        <f>625-32-18-20-2-17-17</f>
        <v>519</v>
      </c>
      <c r="G36" s="7" t="s">
        <v>12</v>
      </c>
      <c r="H36" s="22">
        <v>1185.9000000000001</v>
      </c>
      <c r="I36" s="78">
        <f>F36*H36</f>
        <v>615482.10000000009</v>
      </c>
      <c r="J36" s="21"/>
    </row>
    <row r="37" spans="1:28" ht="25.5" x14ac:dyDescent="0.25">
      <c r="A37" s="7">
        <v>32</v>
      </c>
      <c r="B37" s="8">
        <v>44714</v>
      </c>
      <c r="C37" s="8">
        <v>44714</v>
      </c>
      <c r="D37" s="9" t="s">
        <v>52</v>
      </c>
      <c r="E37" s="10" t="s">
        <v>53</v>
      </c>
      <c r="F37" s="11">
        <f>625-11-8-2-55-23-20</f>
        <v>506</v>
      </c>
      <c r="G37" s="7" t="s">
        <v>12</v>
      </c>
      <c r="H37" s="22">
        <v>759.92</v>
      </c>
      <c r="I37" s="78">
        <f>F37*H37</f>
        <v>384519.51999999996</v>
      </c>
      <c r="J37" s="21"/>
    </row>
    <row r="38" spans="1:28" x14ac:dyDescent="0.25">
      <c r="A38" s="7">
        <v>33</v>
      </c>
      <c r="B38" s="13">
        <v>45174</v>
      </c>
      <c r="C38" s="13">
        <v>45174</v>
      </c>
      <c r="D38" s="17" t="s">
        <v>54</v>
      </c>
      <c r="E38" s="10" t="s">
        <v>55</v>
      </c>
      <c r="F38" s="16">
        <f>250-1-2-9</f>
        <v>238</v>
      </c>
      <c r="G38" s="11" t="s">
        <v>12</v>
      </c>
      <c r="H38" s="22">
        <v>3050</v>
      </c>
      <c r="I38" s="78">
        <f>F38*H38</f>
        <v>725900</v>
      </c>
      <c r="J38" s="18"/>
    </row>
    <row r="39" spans="1:28" x14ac:dyDescent="0.25">
      <c r="A39" s="7">
        <v>34</v>
      </c>
      <c r="B39" s="13">
        <v>45244</v>
      </c>
      <c r="C39" s="13">
        <v>45244</v>
      </c>
      <c r="D39" s="9" t="s">
        <v>52</v>
      </c>
      <c r="E39" s="10" t="s">
        <v>56</v>
      </c>
      <c r="F39" s="11">
        <f>160-2-50-35-27</f>
        <v>46</v>
      </c>
      <c r="G39" s="7" t="s">
        <v>12</v>
      </c>
      <c r="H39" s="22">
        <v>4377.8</v>
      </c>
      <c r="I39" s="78">
        <f>F39*H39</f>
        <v>201378.80000000002</v>
      </c>
      <c r="J39" s="21"/>
    </row>
    <row r="40" spans="1:28" x14ac:dyDescent="0.25">
      <c r="A40" s="18"/>
      <c r="B40" s="19"/>
      <c r="C40" s="19"/>
      <c r="D40" s="19"/>
      <c r="E40" s="18"/>
      <c r="F40" s="19"/>
      <c r="G40" s="18"/>
      <c r="H40" s="20" t="s">
        <v>57</v>
      </c>
      <c r="I40" s="79">
        <f>SUM(I12:I39)</f>
        <v>8727867.355325561</v>
      </c>
    </row>
    <row r="41" spans="1:28" x14ac:dyDescent="0.25">
      <c r="A41" s="23"/>
      <c r="B41" s="23"/>
      <c r="C41" s="23"/>
      <c r="D41" s="23"/>
      <c r="E41" s="23"/>
      <c r="F41" s="23"/>
      <c r="G41" s="23"/>
      <c r="H41" s="51"/>
      <c r="I41" s="52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x14ac:dyDescent="0.25">
      <c r="A42" s="23"/>
      <c r="B42" s="23"/>
      <c r="C42" s="23"/>
      <c r="D42" s="23"/>
      <c r="E42" s="23"/>
      <c r="F42" s="23"/>
      <c r="G42" s="23"/>
      <c r="H42" s="51"/>
      <c r="I42" s="5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5">
      <c r="A43" s="23"/>
      <c r="B43" s="23"/>
      <c r="C43" s="23"/>
      <c r="D43" s="23"/>
      <c r="E43" s="23"/>
      <c r="F43" s="23"/>
      <c r="G43" s="23"/>
      <c r="H43" s="51"/>
      <c r="I43" s="52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x14ac:dyDescent="0.25"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x14ac:dyDescent="0.25">
      <c r="D45" s="85" t="s">
        <v>265</v>
      </c>
      <c r="E45" s="8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x14ac:dyDescent="0.25">
      <c r="D46" s="85" t="s">
        <v>266</v>
      </c>
      <c r="E46" s="85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28" ht="15.75" x14ac:dyDescent="0.25">
      <c r="D47" s="80" t="s">
        <v>267</v>
      </c>
      <c r="E47" s="80"/>
      <c r="F47" s="80"/>
      <c r="G47" s="80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 x14ac:dyDescent="0.25">
      <c r="B48" s="81" t="s">
        <v>268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2:28" x14ac:dyDescent="0.25">
      <c r="B49" s="81" t="s">
        <v>269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1" spans="2:28" ht="18.75" x14ac:dyDescent="0.3">
      <c r="E51" s="82"/>
    </row>
    <row r="52" spans="2:28" ht="18.75" x14ac:dyDescent="0.3">
      <c r="E52" s="82"/>
    </row>
    <row r="53" spans="2:28" ht="18.75" x14ac:dyDescent="0.3">
      <c r="E53" s="82"/>
    </row>
    <row r="54" spans="2:28" ht="18.75" x14ac:dyDescent="0.3">
      <c r="E54" s="82"/>
    </row>
    <row r="55" spans="2:28" ht="18.75" x14ac:dyDescent="0.3">
      <c r="E55" s="82"/>
    </row>
    <row r="56" spans="2:28" ht="18.75" x14ac:dyDescent="0.3">
      <c r="E56" s="82"/>
    </row>
    <row r="57" spans="2:28" ht="18.75" x14ac:dyDescent="0.3">
      <c r="E57" s="82"/>
    </row>
    <row r="58" spans="2:28" ht="18.75" x14ac:dyDescent="0.3">
      <c r="E58" s="82"/>
    </row>
    <row r="59" spans="2:28" ht="18.75" x14ac:dyDescent="0.3">
      <c r="E59" s="82"/>
    </row>
  </sheetData>
  <mergeCells count="7">
    <mergeCell ref="D46:E46"/>
    <mergeCell ref="D45:E45"/>
    <mergeCell ref="A7:I7"/>
    <mergeCell ref="A8:I8"/>
    <mergeCell ref="A9:I9"/>
    <mergeCell ref="A10:I10"/>
    <mergeCell ref="F11:G11"/>
  </mergeCells>
  <pageMargins left="0.31" right="0.23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139"/>
  <sheetViews>
    <sheetView topLeftCell="A106" zoomScale="93" zoomScaleNormal="93" workbookViewId="0">
      <selection activeCell="F130" sqref="F130"/>
    </sheetView>
  </sheetViews>
  <sheetFormatPr baseColWidth="10" defaultRowHeight="15" x14ac:dyDescent="0.25"/>
  <cols>
    <col min="1" max="1" width="4.5703125" bestFit="1" customWidth="1"/>
    <col min="5" max="5" width="33.140625" bestFit="1" customWidth="1"/>
    <col min="8" max="8" width="14" bestFit="1" customWidth="1"/>
    <col min="9" max="9" width="15.28515625" bestFit="1" customWidth="1"/>
    <col min="11" max="13" width="11.42578125" style="21"/>
  </cols>
  <sheetData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10" x14ac:dyDescent="0.25">
      <c r="A7" s="86" t="s">
        <v>58</v>
      </c>
      <c r="B7" s="86"/>
      <c r="C7" s="86"/>
      <c r="D7" s="86"/>
      <c r="E7" s="86"/>
      <c r="F7" s="86"/>
      <c r="G7" s="86"/>
      <c r="H7" s="86"/>
      <c r="I7" s="86"/>
    </row>
    <row r="8" spans="1:10" ht="18.75" x14ac:dyDescent="0.3">
      <c r="A8" s="87" t="s">
        <v>1</v>
      </c>
      <c r="B8" s="87"/>
      <c r="C8" s="87"/>
      <c r="D8" s="87"/>
      <c r="E8" s="87"/>
      <c r="F8" s="87"/>
      <c r="G8" s="87"/>
      <c r="H8" s="87"/>
      <c r="I8" s="87"/>
    </row>
    <row r="9" spans="1:10" ht="15.75" x14ac:dyDescent="0.25">
      <c r="A9" s="88" t="s">
        <v>59</v>
      </c>
      <c r="B9" s="88"/>
      <c r="C9" s="88"/>
      <c r="D9" s="88"/>
      <c r="E9" s="88"/>
      <c r="F9" s="88"/>
      <c r="G9" s="88"/>
      <c r="H9" s="88"/>
      <c r="I9" s="88"/>
    </row>
    <row r="10" spans="1:10" ht="15.75" x14ac:dyDescent="0.25">
      <c r="A10" s="89" t="s">
        <v>333</v>
      </c>
      <c r="B10" s="89"/>
      <c r="C10" s="89"/>
      <c r="D10" s="89"/>
      <c r="E10" s="89"/>
      <c r="F10" s="89"/>
      <c r="G10" s="89"/>
      <c r="H10" s="89"/>
      <c r="I10" s="89"/>
    </row>
    <row r="11" spans="1:10" ht="60" x14ac:dyDescent="0.25">
      <c r="A11" s="24" t="s">
        <v>60</v>
      </c>
      <c r="B11" s="25" t="s">
        <v>61</v>
      </c>
      <c r="C11" s="26" t="s">
        <v>4</v>
      </c>
      <c r="D11" s="27" t="s">
        <v>5</v>
      </c>
      <c r="E11" s="28" t="s">
        <v>6</v>
      </c>
      <c r="F11" s="92" t="s">
        <v>7</v>
      </c>
      <c r="G11" s="93"/>
      <c r="H11" s="29" t="s">
        <v>62</v>
      </c>
      <c r="I11" s="30" t="s">
        <v>9</v>
      </c>
    </row>
    <row r="12" spans="1:10" x14ac:dyDescent="0.25">
      <c r="A12" s="31">
        <v>2</v>
      </c>
      <c r="B12" s="32">
        <v>45230</v>
      </c>
      <c r="C12" s="33">
        <v>45230</v>
      </c>
      <c r="D12" s="9" t="s">
        <v>63</v>
      </c>
      <c r="E12" s="34" t="s">
        <v>64</v>
      </c>
      <c r="F12" s="7">
        <f>100-34-7</f>
        <v>59</v>
      </c>
      <c r="G12" s="7" t="s">
        <v>12</v>
      </c>
      <c r="H12" s="35">
        <v>642.4982</v>
      </c>
      <c r="I12" s="36">
        <f t="shared" ref="I12:I17" si="0">+F12*H12</f>
        <v>37907.393799999998</v>
      </c>
    </row>
    <row r="13" spans="1:10" x14ac:dyDescent="0.25">
      <c r="A13" s="31">
        <v>3</v>
      </c>
      <c r="B13" s="32">
        <v>44748</v>
      </c>
      <c r="C13" s="33">
        <v>44748</v>
      </c>
      <c r="D13" s="9" t="s">
        <v>63</v>
      </c>
      <c r="E13" s="34" t="s">
        <v>65</v>
      </c>
      <c r="F13" s="7">
        <f>125-12-4-3-12-5-6</f>
        <v>83</v>
      </c>
      <c r="G13" s="7" t="s">
        <v>12</v>
      </c>
      <c r="H13" s="35">
        <v>608.44344000000001</v>
      </c>
      <c r="I13" s="36">
        <f t="shared" si="0"/>
        <v>50500.805520000002</v>
      </c>
      <c r="J13" s="21"/>
    </row>
    <row r="14" spans="1:10" x14ac:dyDescent="0.25">
      <c r="A14" s="31">
        <v>4</v>
      </c>
      <c r="B14" s="32">
        <v>45230</v>
      </c>
      <c r="C14" s="33">
        <v>45230</v>
      </c>
      <c r="D14" s="9" t="s">
        <v>63</v>
      </c>
      <c r="E14" s="34" t="s">
        <v>65</v>
      </c>
      <c r="F14" s="7">
        <v>100</v>
      </c>
      <c r="G14" s="7" t="s">
        <v>12</v>
      </c>
      <c r="H14" s="35">
        <v>820.69</v>
      </c>
      <c r="I14" s="36">
        <f t="shared" si="0"/>
        <v>82069</v>
      </c>
    </row>
    <row r="15" spans="1:10" x14ac:dyDescent="0.25">
      <c r="A15" s="31">
        <v>5</v>
      </c>
      <c r="B15" s="32">
        <v>44166</v>
      </c>
      <c r="C15" s="33">
        <v>44166</v>
      </c>
      <c r="D15" s="9" t="s">
        <v>66</v>
      </c>
      <c r="E15" s="34" t="s">
        <v>67</v>
      </c>
      <c r="F15" s="7">
        <v>50</v>
      </c>
      <c r="G15" s="7" t="s">
        <v>12</v>
      </c>
      <c r="H15" s="35">
        <v>115.64</v>
      </c>
      <c r="I15" s="36">
        <f t="shared" si="0"/>
        <v>5782</v>
      </c>
    </row>
    <row r="16" spans="1:10" x14ac:dyDescent="0.25">
      <c r="A16" s="31">
        <v>7</v>
      </c>
      <c r="B16" s="32">
        <v>45230</v>
      </c>
      <c r="C16" s="33">
        <v>45230</v>
      </c>
      <c r="D16" s="9" t="s">
        <v>68</v>
      </c>
      <c r="E16" s="34" t="s">
        <v>69</v>
      </c>
      <c r="F16" s="7">
        <f>350-38-17-24-67-29-37</f>
        <v>138</v>
      </c>
      <c r="G16" s="7" t="s">
        <v>12</v>
      </c>
      <c r="H16" s="35">
        <v>42.951999999999998</v>
      </c>
      <c r="I16" s="36">
        <f t="shared" si="0"/>
        <v>5927.3760000000002</v>
      </c>
      <c r="J16" s="21"/>
    </row>
    <row r="17" spans="1:10" x14ac:dyDescent="0.25">
      <c r="A17" s="31">
        <v>8</v>
      </c>
      <c r="B17" s="32">
        <v>44796</v>
      </c>
      <c r="C17" s="33">
        <v>44796</v>
      </c>
      <c r="D17" s="9" t="s">
        <v>70</v>
      </c>
      <c r="E17" s="34" t="s">
        <v>71</v>
      </c>
      <c r="F17" s="7">
        <f>398-60-40-10-10-47-10-45-20-10-30</f>
        <v>116</v>
      </c>
      <c r="G17" s="7" t="s">
        <v>12</v>
      </c>
      <c r="H17" s="35">
        <v>413</v>
      </c>
      <c r="I17" s="36">
        <f t="shared" si="0"/>
        <v>47908</v>
      </c>
      <c r="J17" s="21"/>
    </row>
    <row r="18" spans="1:10" x14ac:dyDescent="0.25">
      <c r="A18" s="31">
        <v>10</v>
      </c>
      <c r="B18" s="32">
        <v>45230</v>
      </c>
      <c r="C18" s="33">
        <v>45230</v>
      </c>
      <c r="D18" s="9" t="s">
        <v>72</v>
      </c>
      <c r="E18" s="34" t="s">
        <v>73</v>
      </c>
      <c r="F18" s="7">
        <f>275-10-41</f>
        <v>224</v>
      </c>
      <c r="G18" s="7" t="s">
        <v>12</v>
      </c>
      <c r="H18" s="35">
        <v>240.602</v>
      </c>
      <c r="I18" s="36">
        <f>F18*H18</f>
        <v>53894.847999999998</v>
      </c>
    </row>
    <row r="19" spans="1:10" x14ac:dyDescent="0.25">
      <c r="A19" s="31">
        <v>11</v>
      </c>
      <c r="B19" s="32">
        <v>45230</v>
      </c>
      <c r="C19" s="33">
        <v>45230</v>
      </c>
      <c r="D19" s="9" t="s">
        <v>74</v>
      </c>
      <c r="E19" s="34" t="s">
        <v>75</v>
      </c>
      <c r="F19" s="7">
        <f>4800-242-33-43-727-765-486</f>
        <v>2504</v>
      </c>
      <c r="G19" s="7" t="s">
        <v>12</v>
      </c>
      <c r="H19" s="35">
        <v>11.829166000000001</v>
      </c>
      <c r="I19" s="36">
        <f>F19*H19</f>
        <v>29620.231664000003</v>
      </c>
      <c r="J19" s="21"/>
    </row>
    <row r="20" spans="1:10" x14ac:dyDescent="0.25">
      <c r="A20" s="31">
        <v>12</v>
      </c>
      <c r="B20" s="32">
        <v>45230</v>
      </c>
      <c r="C20" s="33">
        <v>45230</v>
      </c>
      <c r="D20" s="9" t="s">
        <v>76</v>
      </c>
      <c r="E20" s="34" t="s">
        <v>77</v>
      </c>
      <c r="F20" s="7">
        <f>1200-2-11-9-10-13</f>
        <v>1155</v>
      </c>
      <c r="G20" s="7" t="s">
        <v>12</v>
      </c>
      <c r="H20" s="35">
        <v>14.4998416666</v>
      </c>
      <c r="I20" s="36">
        <f>F20*H20</f>
        <v>16747.317124923</v>
      </c>
      <c r="J20" s="21"/>
    </row>
    <row r="21" spans="1:10" x14ac:dyDescent="0.25">
      <c r="A21" s="31">
        <v>13</v>
      </c>
      <c r="B21" s="32">
        <v>44748</v>
      </c>
      <c r="C21" s="33">
        <v>44748</v>
      </c>
      <c r="D21" s="9" t="s">
        <v>78</v>
      </c>
      <c r="E21" s="34" t="s">
        <v>79</v>
      </c>
      <c r="F21" s="7">
        <f>75-1-2-5-5-9-3-5-5-3-24-5</f>
        <v>8</v>
      </c>
      <c r="G21" s="7" t="s">
        <v>12</v>
      </c>
      <c r="H21" s="37">
        <v>33.630000000000003</v>
      </c>
      <c r="I21" s="36">
        <f t="shared" ref="I21:I58" si="1">+F21*H21</f>
        <v>269.04000000000002</v>
      </c>
      <c r="J21" s="21"/>
    </row>
    <row r="22" spans="1:10" x14ac:dyDescent="0.25">
      <c r="A22" s="31">
        <v>14</v>
      </c>
      <c r="B22" s="32">
        <v>45133</v>
      </c>
      <c r="C22" s="33">
        <v>45133</v>
      </c>
      <c r="D22" s="9" t="s">
        <v>80</v>
      </c>
      <c r="E22" s="34" t="s">
        <v>81</v>
      </c>
      <c r="F22" s="7">
        <f>15-2-2-2</f>
        <v>9</v>
      </c>
      <c r="G22" s="7" t="s">
        <v>12</v>
      </c>
      <c r="H22" s="37">
        <v>11657.22</v>
      </c>
      <c r="I22" s="36">
        <f t="shared" si="1"/>
        <v>104914.98</v>
      </c>
      <c r="J22" s="21"/>
    </row>
    <row r="23" spans="1:10" x14ac:dyDescent="0.25">
      <c r="A23" s="31">
        <v>16</v>
      </c>
      <c r="B23" s="32">
        <v>45230</v>
      </c>
      <c r="C23" s="33">
        <v>45230</v>
      </c>
      <c r="D23" s="17" t="s">
        <v>82</v>
      </c>
      <c r="E23" s="34" t="s">
        <v>83</v>
      </c>
      <c r="F23" s="7">
        <f>200-6</f>
        <v>194</v>
      </c>
      <c r="G23" s="7" t="s">
        <v>12</v>
      </c>
      <c r="H23" s="35">
        <v>76.11</v>
      </c>
      <c r="I23" s="36">
        <f t="shared" si="1"/>
        <v>14765.34</v>
      </c>
    </row>
    <row r="24" spans="1:10" x14ac:dyDescent="0.25">
      <c r="A24" s="31">
        <v>17</v>
      </c>
      <c r="B24" s="32">
        <v>44753</v>
      </c>
      <c r="C24" s="33">
        <v>44753</v>
      </c>
      <c r="D24" s="17" t="s">
        <v>82</v>
      </c>
      <c r="E24" s="34" t="s">
        <v>84</v>
      </c>
      <c r="F24" s="7">
        <f>155-7-1-16-10-12-19-27-10-38</f>
        <v>15</v>
      </c>
      <c r="G24" s="7" t="s">
        <v>12</v>
      </c>
      <c r="H24" s="35">
        <v>64.900000000000006</v>
      </c>
      <c r="I24" s="36">
        <f t="shared" si="1"/>
        <v>973.50000000000011</v>
      </c>
      <c r="J24" s="21"/>
    </row>
    <row r="25" spans="1:10" x14ac:dyDescent="0.25">
      <c r="A25" s="31">
        <v>18</v>
      </c>
      <c r="B25" s="32">
        <v>45230</v>
      </c>
      <c r="C25" s="33">
        <v>45230</v>
      </c>
      <c r="D25" s="17" t="s">
        <v>82</v>
      </c>
      <c r="E25" s="34" t="s">
        <v>84</v>
      </c>
      <c r="F25" s="7">
        <v>120</v>
      </c>
      <c r="G25" s="7" t="s">
        <v>12</v>
      </c>
      <c r="H25" s="35">
        <v>120.95</v>
      </c>
      <c r="I25" s="36">
        <f t="shared" si="1"/>
        <v>14514</v>
      </c>
    </row>
    <row r="26" spans="1:10" x14ac:dyDescent="0.25">
      <c r="A26" s="31">
        <v>20</v>
      </c>
      <c r="B26" s="32">
        <v>44551</v>
      </c>
      <c r="C26" s="33">
        <v>44551</v>
      </c>
      <c r="D26" s="9" t="s">
        <v>85</v>
      </c>
      <c r="E26" s="34" t="s">
        <v>86</v>
      </c>
      <c r="F26" s="7">
        <f>100-8-4-15-2-2-6-5-5-17-8</f>
        <v>28</v>
      </c>
      <c r="G26" s="7" t="s">
        <v>87</v>
      </c>
      <c r="H26" s="38">
        <v>74.34</v>
      </c>
      <c r="I26" s="36">
        <f t="shared" si="1"/>
        <v>2081.52</v>
      </c>
      <c r="J26" s="21"/>
    </row>
    <row r="27" spans="1:10" x14ac:dyDescent="0.25">
      <c r="A27" s="31">
        <v>21</v>
      </c>
      <c r="B27" s="32">
        <v>44753</v>
      </c>
      <c r="C27" s="33">
        <v>44753</v>
      </c>
      <c r="D27" s="9" t="s">
        <v>85</v>
      </c>
      <c r="E27" s="34" t="s">
        <v>86</v>
      </c>
      <c r="F27" s="7">
        <v>50</v>
      </c>
      <c r="G27" s="7" t="s">
        <v>87</v>
      </c>
      <c r="H27" s="38">
        <v>44.073</v>
      </c>
      <c r="I27" s="36">
        <f t="shared" si="1"/>
        <v>2203.65</v>
      </c>
    </row>
    <row r="28" spans="1:10" x14ac:dyDescent="0.25">
      <c r="A28" s="31">
        <v>22</v>
      </c>
      <c r="B28" s="32">
        <v>44166</v>
      </c>
      <c r="C28" s="33">
        <v>44166</v>
      </c>
      <c r="D28" s="9" t="s">
        <v>88</v>
      </c>
      <c r="E28" s="34" t="s">
        <v>89</v>
      </c>
      <c r="F28" s="7">
        <f>184-15-25-7</f>
        <v>137</v>
      </c>
      <c r="G28" s="7" t="s">
        <v>87</v>
      </c>
      <c r="H28" s="38">
        <v>130.08320000000001</v>
      </c>
      <c r="I28" s="36">
        <f t="shared" si="1"/>
        <v>17821.398400000002</v>
      </c>
    </row>
    <row r="29" spans="1:10" x14ac:dyDescent="0.25">
      <c r="A29" s="31">
        <v>23</v>
      </c>
      <c r="B29" s="32">
        <v>44748</v>
      </c>
      <c r="C29" s="33">
        <v>44748</v>
      </c>
      <c r="D29" s="9" t="s">
        <v>88</v>
      </c>
      <c r="E29" s="34" t="s">
        <v>89</v>
      </c>
      <c r="F29" s="7">
        <v>225</v>
      </c>
      <c r="G29" s="7" t="s">
        <v>87</v>
      </c>
      <c r="H29" s="35">
        <v>14.75</v>
      </c>
      <c r="I29" s="36">
        <f t="shared" si="1"/>
        <v>3318.75</v>
      </c>
    </row>
    <row r="30" spans="1:10" x14ac:dyDescent="0.25">
      <c r="A30" s="31">
        <v>24</v>
      </c>
      <c r="B30" s="32">
        <v>45230</v>
      </c>
      <c r="C30" s="33">
        <v>45230</v>
      </c>
      <c r="D30" s="9" t="s">
        <v>88</v>
      </c>
      <c r="E30" s="34" t="s">
        <v>89</v>
      </c>
      <c r="F30" s="7">
        <v>225</v>
      </c>
      <c r="G30" s="7" t="s">
        <v>87</v>
      </c>
      <c r="H30" s="35">
        <v>20.532</v>
      </c>
      <c r="I30" s="36">
        <f t="shared" si="1"/>
        <v>4619.7</v>
      </c>
    </row>
    <row r="31" spans="1:10" x14ac:dyDescent="0.25">
      <c r="A31" s="31">
        <v>25</v>
      </c>
      <c r="B31" s="32">
        <v>43826</v>
      </c>
      <c r="C31" s="33">
        <v>43826</v>
      </c>
      <c r="D31" s="9" t="s">
        <v>90</v>
      </c>
      <c r="E31" s="34" t="s">
        <v>91</v>
      </c>
      <c r="F31" s="7">
        <f>1179-36-1-25-18-30-73-6-11-17-30-44</f>
        <v>888</v>
      </c>
      <c r="G31" s="7" t="s">
        <v>87</v>
      </c>
      <c r="H31" s="35">
        <v>11.21</v>
      </c>
      <c r="I31" s="36">
        <f t="shared" si="1"/>
        <v>9954.4800000000014</v>
      </c>
      <c r="J31" s="21"/>
    </row>
    <row r="32" spans="1:10" x14ac:dyDescent="0.25">
      <c r="A32" s="31">
        <v>26</v>
      </c>
      <c r="B32" s="32">
        <v>43826</v>
      </c>
      <c r="C32" s="33">
        <v>43826</v>
      </c>
      <c r="D32" s="9" t="s">
        <v>92</v>
      </c>
      <c r="E32" s="34" t="s">
        <v>93</v>
      </c>
      <c r="F32" s="7">
        <f>386-18-5-18-23-46-26-4-8-5-1-35</f>
        <v>197</v>
      </c>
      <c r="G32" s="7" t="s">
        <v>87</v>
      </c>
      <c r="H32" s="35">
        <v>31.329000000000001</v>
      </c>
      <c r="I32" s="36">
        <f t="shared" si="1"/>
        <v>6171.8130000000001</v>
      </c>
      <c r="J32" s="21"/>
    </row>
    <row r="33" spans="1:10" x14ac:dyDescent="0.25">
      <c r="A33" s="31">
        <v>27</v>
      </c>
      <c r="B33" s="32">
        <v>44748</v>
      </c>
      <c r="C33" s="33">
        <v>44748</v>
      </c>
      <c r="D33" s="9" t="s">
        <v>94</v>
      </c>
      <c r="E33" s="34" t="s">
        <v>95</v>
      </c>
      <c r="F33" s="7">
        <f>156-2-4-14-6-16-5-43-24-12</f>
        <v>30</v>
      </c>
      <c r="G33" s="7" t="s">
        <v>87</v>
      </c>
      <c r="H33" s="35">
        <v>34.101999999999997</v>
      </c>
      <c r="I33" s="36">
        <f t="shared" si="1"/>
        <v>1023.06</v>
      </c>
      <c r="J33" s="21"/>
    </row>
    <row r="34" spans="1:10" x14ac:dyDescent="0.25">
      <c r="A34" s="31">
        <v>28</v>
      </c>
      <c r="B34" s="32">
        <v>45230</v>
      </c>
      <c r="C34" s="33">
        <v>45230</v>
      </c>
      <c r="D34" s="9" t="s">
        <v>94</v>
      </c>
      <c r="E34" s="34" t="s">
        <v>95</v>
      </c>
      <c r="F34" s="7">
        <v>250</v>
      </c>
      <c r="G34" s="7" t="s">
        <v>87</v>
      </c>
      <c r="H34" s="35">
        <v>101.952</v>
      </c>
      <c r="I34" s="36">
        <f t="shared" si="1"/>
        <v>25488</v>
      </c>
    </row>
    <row r="35" spans="1:10" x14ac:dyDescent="0.25">
      <c r="A35" s="31">
        <v>29</v>
      </c>
      <c r="B35" s="32">
        <v>43826</v>
      </c>
      <c r="C35" s="33">
        <v>43826</v>
      </c>
      <c r="D35" s="9" t="s">
        <v>96</v>
      </c>
      <c r="E35" s="34" t="s">
        <v>97</v>
      </c>
      <c r="F35" s="7">
        <f>196-1-8-12-2-6-4-1-42-31-10</f>
        <v>79</v>
      </c>
      <c r="G35" s="7" t="s">
        <v>87</v>
      </c>
      <c r="H35" s="35">
        <v>277.3</v>
      </c>
      <c r="I35" s="36">
        <f t="shared" si="1"/>
        <v>21906.7</v>
      </c>
      <c r="J35" s="21"/>
    </row>
    <row r="36" spans="1:10" x14ac:dyDescent="0.25">
      <c r="A36" s="31">
        <v>30</v>
      </c>
      <c r="B36" s="32">
        <v>44166</v>
      </c>
      <c r="C36" s="33">
        <v>44166</v>
      </c>
      <c r="D36" s="9" t="s">
        <v>98</v>
      </c>
      <c r="E36" s="34" t="s">
        <v>99</v>
      </c>
      <c r="F36" s="7">
        <f>250-1-2-9-3-5-8-2-2-9-2-5-10-10-5-25-10-9-4-6-1-23</f>
        <v>99</v>
      </c>
      <c r="G36" s="7" t="s">
        <v>87</v>
      </c>
      <c r="H36" s="35">
        <v>141.6</v>
      </c>
      <c r="I36" s="36">
        <f t="shared" si="1"/>
        <v>14018.4</v>
      </c>
    </row>
    <row r="37" spans="1:10" x14ac:dyDescent="0.25">
      <c r="A37" s="31">
        <v>31</v>
      </c>
      <c r="B37" s="32">
        <v>44748</v>
      </c>
      <c r="C37" s="33">
        <v>44748</v>
      </c>
      <c r="D37" s="9" t="s">
        <v>98</v>
      </c>
      <c r="E37" s="34" t="s">
        <v>99</v>
      </c>
      <c r="F37" s="7">
        <v>250</v>
      </c>
      <c r="G37" s="7" t="s">
        <v>87</v>
      </c>
      <c r="H37" s="35">
        <v>160.36199999999999</v>
      </c>
      <c r="I37" s="36">
        <f t="shared" si="1"/>
        <v>40090.5</v>
      </c>
    </row>
    <row r="38" spans="1:10" x14ac:dyDescent="0.25">
      <c r="A38" s="31">
        <v>32</v>
      </c>
      <c r="B38" s="32">
        <v>45230</v>
      </c>
      <c r="C38" s="33">
        <v>45230</v>
      </c>
      <c r="D38" s="9" t="s">
        <v>98</v>
      </c>
      <c r="E38" s="34" t="s">
        <v>99</v>
      </c>
      <c r="F38" s="7">
        <v>250</v>
      </c>
      <c r="G38" s="7" t="s">
        <v>87</v>
      </c>
      <c r="H38" s="35">
        <v>168.50399999999999</v>
      </c>
      <c r="I38" s="36">
        <f t="shared" si="1"/>
        <v>42126</v>
      </c>
    </row>
    <row r="39" spans="1:10" x14ac:dyDescent="0.25">
      <c r="A39" s="7">
        <v>33</v>
      </c>
      <c r="B39" s="33">
        <v>43685</v>
      </c>
      <c r="C39" s="33">
        <v>43685</v>
      </c>
      <c r="D39" s="9" t="s">
        <v>100</v>
      </c>
      <c r="E39" s="34" t="s">
        <v>101</v>
      </c>
      <c r="F39" s="7">
        <f>117-4-2-1-3-1-6-1-2-1-1-1-1-5-1-1-1-3-2-6-2-1-2-6</f>
        <v>63</v>
      </c>
      <c r="G39" s="7" t="s">
        <v>12</v>
      </c>
      <c r="H39" s="35">
        <v>259.60000000000002</v>
      </c>
      <c r="I39" s="36">
        <f t="shared" si="1"/>
        <v>16354.800000000001</v>
      </c>
    </row>
    <row r="40" spans="1:10" x14ac:dyDescent="0.25">
      <c r="A40" s="31">
        <v>34</v>
      </c>
      <c r="B40" s="32">
        <v>44748</v>
      </c>
      <c r="C40" s="33">
        <v>44748</v>
      </c>
      <c r="D40" s="9" t="s">
        <v>100</v>
      </c>
      <c r="E40" s="34" t="s">
        <v>101</v>
      </c>
      <c r="F40" s="7">
        <v>100</v>
      </c>
      <c r="G40" s="7" t="s">
        <v>12</v>
      </c>
      <c r="H40" s="35">
        <v>130.38999999999999</v>
      </c>
      <c r="I40" s="36">
        <f t="shared" si="1"/>
        <v>13038.999999999998</v>
      </c>
    </row>
    <row r="41" spans="1:10" x14ac:dyDescent="0.25">
      <c r="A41" s="31">
        <v>36</v>
      </c>
      <c r="B41" s="32">
        <v>44897</v>
      </c>
      <c r="C41" s="33">
        <v>44897</v>
      </c>
      <c r="D41" s="9" t="s">
        <v>102</v>
      </c>
      <c r="E41" s="34" t="s">
        <v>103</v>
      </c>
      <c r="F41" s="7">
        <f>675-13-42-20-30-21-21-14-2-14-18-20-20-8-37-23-28</f>
        <v>344</v>
      </c>
      <c r="G41" s="7" t="s">
        <v>87</v>
      </c>
      <c r="H41" s="38">
        <v>490.29</v>
      </c>
      <c r="I41" s="36">
        <f t="shared" si="1"/>
        <v>168659.76</v>
      </c>
      <c r="J41" s="21"/>
    </row>
    <row r="42" spans="1:10" x14ac:dyDescent="0.25">
      <c r="A42" s="31">
        <v>37</v>
      </c>
      <c r="B42" s="32">
        <v>45230</v>
      </c>
      <c r="C42" s="33">
        <v>45230</v>
      </c>
      <c r="D42" s="9" t="s">
        <v>102</v>
      </c>
      <c r="E42" s="34" t="s">
        <v>103</v>
      </c>
      <c r="F42" s="7">
        <v>100</v>
      </c>
      <c r="G42" s="7" t="s">
        <v>87</v>
      </c>
      <c r="H42" s="38">
        <v>470.23</v>
      </c>
      <c r="I42" s="36">
        <f t="shared" si="1"/>
        <v>47023</v>
      </c>
    </row>
    <row r="43" spans="1:10" x14ac:dyDescent="0.25">
      <c r="A43" s="31">
        <v>38</v>
      </c>
      <c r="B43" s="32">
        <v>44897</v>
      </c>
      <c r="C43" s="33">
        <v>44897</v>
      </c>
      <c r="D43" s="9" t="s">
        <v>104</v>
      </c>
      <c r="E43" s="34" t="s">
        <v>105</v>
      </c>
      <c r="F43" s="7">
        <f>100-2-9-2-2-2-3-2-1-2-2-1-2-13-17</f>
        <v>40</v>
      </c>
      <c r="G43" s="7" t="s">
        <v>87</v>
      </c>
      <c r="H43" s="38">
        <v>706.23</v>
      </c>
      <c r="I43" s="36">
        <f t="shared" si="1"/>
        <v>28249.200000000001</v>
      </c>
    </row>
    <row r="44" spans="1:10" x14ac:dyDescent="0.25">
      <c r="A44" s="31">
        <v>39</v>
      </c>
      <c r="B44" s="32">
        <v>45230</v>
      </c>
      <c r="C44" s="33">
        <v>45230</v>
      </c>
      <c r="D44" s="9" t="s">
        <v>104</v>
      </c>
      <c r="E44" s="34" t="s">
        <v>105</v>
      </c>
      <c r="F44" s="7">
        <v>50</v>
      </c>
      <c r="G44" s="7" t="s">
        <v>87</v>
      </c>
      <c r="H44" s="38">
        <v>685.49739999999997</v>
      </c>
      <c r="I44" s="36">
        <f t="shared" si="1"/>
        <v>34274.869999999995</v>
      </c>
    </row>
    <row r="45" spans="1:10" x14ac:dyDescent="0.25">
      <c r="A45" s="31">
        <v>40</v>
      </c>
      <c r="B45" s="32">
        <v>44897</v>
      </c>
      <c r="C45" s="33">
        <v>44897</v>
      </c>
      <c r="D45" s="9" t="s">
        <v>106</v>
      </c>
      <c r="E45" s="34" t="s">
        <v>107</v>
      </c>
      <c r="F45" s="7">
        <f>1150-200-15</f>
        <v>935</v>
      </c>
      <c r="G45" s="7" t="s">
        <v>12</v>
      </c>
      <c r="H45" s="38">
        <v>156.70400000000001</v>
      </c>
      <c r="I45" s="36">
        <f t="shared" si="1"/>
        <v>146518.24000000002</v>
      </c>
    </row>
    <row r="46" spans="1:10" x14ac:dyDescent="0.25">
      <c r="A46" s="31">
        <v>41</v>
      </c>
      <c r="B46" s="32">
        <v>44897</v>
      </c>
      <c r="C46" s="33">
        <v>44897</v>
      </c>
      <c r="D46" s="9" t="s">
        <v>106</v>
      </c>
      <c r="E46" s="34" t="s">
        <v>108</v>
      </c>
      <c r="F46" s="7">
        <f>1150-200-15</f>
        <v>935</v>
      </c>
      <c r="G46" s="7" t="s">
        <v>12</v>
      </c>
      <c r="H46" s="38">
        <v>156.70400000000001</v>
      </c>
      <c r="I46" s="36">
        <f t="shared" si="1"/>
        <v>146518.24000000002</v>
      </c>
    </row>
    <row r="47" spans="1:10" x14ac:dyDescent="0.25">
      <c r="A47" s="31">
        <v>42</v>
      </c>
      <c r="B47" s="32">
        <v>45230</v>
      </c>
      <c r="C47" s="33">
        <v>45230</v>
      </c>
      <c r="D47" s="9" t="s">
        <v>109</v>
      </c>
      <c r="E47" s="34" t="s">
        <v>110</v>
      </c>
      <c r="F47" s="39">
        <f>100-1-2-10-7-10-7</f>
        <v>63</v>
      </c>
      <c r="G47" s="39" t="s">
        <v>87</v>
      </c>
      <c r="H47" s="40">
        <v>267.86</v>
      </c>
      <c r="I47" s="36">
        <f t="shared" si="1"/>
        <v>16875.18</v>
      </c>
      <c r="J47" s="21"/>
    </row>
    <row r="48" spans="1:10" x14ac:dyDescent="0.25">
      <c r="A48" s="31">
        <v>44</v>
      </c>
      <c r="B48" s="41">
        <v>44748</v>
      </c>
      <c r="C48" s="42">
        <v>44749</v>
      </c>
      <c r="D48" s="9" t="s">
        <v>111</v>
      </c>
      <c r="E48" s="43" t="s">
        <v>112</v>
      </c>
      <c r="F48" s="39">
        <f>300-20-42-36</f>
        <v>202</v>
      </c>
      <c r="G48" s="39" t="s">
        <v>87</v>
      </c>
      <c r="H48" s="40">
        <v>44.25</v>
      </c>
      <c r="I48" s="44">
        <f t="shared" si="1"/>
        <v>8938.5</v>
      </c>
      <c r="J48" s="21"/>
    </row>
    <row r="49" spans="1:10" x14ac:dyDescent="0.25">
      <c r="A49" s="31">
        <v>45</v>
      </c>
      <c r="B49" s="32">
        <v>45230</v>
      </c>
      <c r="C49" s="33">
        <v>45230</v>
      </c>
      <c r="D49" s="9" t="s">
        <v>111</v>
      </c>
      <c r="E49" s="43" t="s">
        <v>112</v>
      </c>
      <c r="F49" s="39">
        <v>500</v>
      </c>
      <c r="G49" s="39" t="s">
        <v>87</v>
      </c>
      <c r="H49" s="40">
        <v>65.489999999999995</v>
      </c>
      <c r="I49" s="44">
        <f t="shared" si="1"/>
        <v>32744.999999999996</v>
      </c>
    </row>
    <row r="50" spans="1:10" x14ac:dyDescent="0.25">
      <c r="A50" s="31">
        <v>47</v>
      </c>
      <c r="B50" s="32">
        <v>42312</v>
      </c>
      <c r="C50" s="33">
        <v>42312</v>
      </c>
      <c r="D50" s="9" t="s">
        <v>111</v>
      </c>
      <c r="E50" s="34" t="s">
        <v>113</v>
      </c>
      <c r="F50" s="7">
        <f>68-1-2-9-2-8-2-1-2-1-1-8</f>
        <v>31</v>
      </c>
      <c r="G50" s="7" t="s">
        <v>87</v>
      </c>
      <c r="H50" s="38">
        <v>425.48</v>
      </c>
      <c r="I50" s="36">
        <f t="shared" si="1"/>
        <v>13189.880000000001</v>
      </c>
    </row>
    <row r="51" spans="1:10" x14ac:dyDescent="0.25">
      <c r="A51" s="31">
        <v>49</v>
      </c>
      <c r="B51" s="32">
        <v>44748</v>
      </c>
      <c r="C51" s="33">
        <v>44748</v>
      </c>
      <c r="D51" s="9" t="s">
        <v>114</v>
      </c>
      <c r="E51" s="34" t="s">
        <v>115</v>
      </c>
      <c r="F51" s="7">
        <f>1227-99-14-127-128-169-73-32-16-276-102-113</f>
        <v>78</v>
      </c>
      <c r="G51" s="7" t="s">
        <v>12</v>
      </c>
      <c r="H51" s="35">
        <v>9.2083333333000006</v>
      </c>
      <c r="I51" s="36">
        <f t="shared" si="1"/>
        <v>718.2499999974001</v>
      </c>
      <c r="J51" s="21"/>
    </row>
    <row r="52" spans="1:10" x14ac:dyDescent="0.25">
      <c r="A52" s="31">
        <v>50</v>
      </c>
      <c r="B52" s="32">
        <v>45230</v>
      </c>
      <c r="C52" s="33">
        <v>45230</v>
      </c>
      <c r="D52" s="9" t="s">
        <v>114</v>
      </c>
      <c r="E52" s="34" t="s">
        <v>115</v>
      </c>
      <c r="F52" s="7">
        <v>3600</v>
      </c>
      <c r="G52" s="7" t="s">
        <v>12</v>
      </c>
      <c r="H52" s="35">
        <v>4.7708333300000003</v>
      </c>
      <c r="I52" s="36">
        <f t="shared" si="1"/>
        <v>17174.999988</v>
      </c>
    </row>
    <row r="53" spans="1:10" x14ac:dyDescent="0.25">
      <c r="A53" s="31">
        <v>51</v>
      </c>
      <c r="B53" s="32">
        <v>44748</v>
      </c>
      <c r="C53" s="33">
        <v>44748</v>
      </c>
      <c r="D53" s="9" t="s">
        <v>116</v>
      </c>
      <c r="E53" s="34" t="s">
        <v>117</v>
      </c>
      <c r="F53" s="7">
        <f>20-1-3-1-10</f>
        <v>5</v>
      </c>
      <c r="G53" s="7" t="s">
        <v>12</v>
      </c>
      <c r="H53" s="35">
        <v>476.13</v>
      </c>
      <c r="I53" s="36">
        <f t="shared" si="1"/>
        <v>2380.65</v>
      </c>
    </row>
    <row r="54" spans="1:10" x14ac:dyDescent="0.25">
      <c r="A54" s="31">
        <v>52</v>
      </c>
      <c r="B54" s="32">
        <v>45230</v>
      </c>
      <c r="C54" s="33">
        <v>45230</v>
      </c>
      <c r="D54" s="9" t="s">
        <v>116</v>
      </c>
      <c r="E54" s="34" t="s">
        <v>118</v>
      </c>
      <c r="F54" s="7">
        <v>460</v>
      </c>
      <c r="G54" s="7" t="s">
        <v>12</v>
      </c>
      <c r="H54" s="35">
        <v>69.295500000000004</v>
      </c>
      <c r="I54" s="36">
        <f t="shared" si="1"/>
        <v>31875.93</v>
      </c>
    </row>
    <row r="55" spans="1:10" x14ac:dyDescent="0.25">
      <c r="A55" s="31">
        <v>54</v>
      </c>
      <c r="B55" s="32">
        <v>45230</v>
      </c>
      <c r="C55" s="33">
        <v>45230</v>
      </c>
      <c r="D55" s="9" t="s">
        <v>119</v>
      </c>
      <c r="E55" s="34" t="s">
        <v>120</v>
      </c>
      <c r="F55" s="7">
        <f>141-1-14-31</f>
        <v>95</v>
      </c>
      <c r="G55" s="7" t="s">
        <v>12</v>
      </c>
      <c r="H55" s="35">
        <v>385.49418400000002</v>
      </c>
      <c r="I55" s="36">
        <f t="shared" si="1"/>
        <v>36621.947480000003</v>
      </c>
    </row>
    <row r="56" spans="1:10" x14ac:dyDescent="0.25">
      <c r="A56" s="31">
        <v>56</v>
      </c>
      <c r="B56" s="32">
        <v>44166</v>
      </c>
      <c r="C56" s="33">
        <v>44166</v>
      </c>
      <c r="D56" s="9" t="s">
        <v>121</v>
      </c>
      <c r="E56" s="34" t="s">
        <v>122</v>
      </c>
      <c r="F56" s="7">
        <f>1449-19-1-30-32-31-32-18-30-67-83-46</f>
        <v>1060</v>
      </c>
      <c r="G56" s="7" t="s">
        <v>12</v>
      </c>
      <c r="H56" s="38">
        <v>78.666666000000006</v>
      </c>
      <c r="I56" s="36">
        <f t="shared" si="1"/>
        <v>83386.665960000013</v>
      </c>
      <c r="J56" s="21"/>
    </row>
    <row r="57" spans="1:10" x14ac:dyDescent="0.25">
      <c r="A57" s="31">
        <v>58</v>
      </c>
      <c r="B57" s="32">
        <v>45230</v>
      </c>
      <c r="C57" s="33">
        <v>45230</v>
      </c>
      <c r="D57" s="17" t="s">
        <v>123</v>
      </c>
      <c r="E57" s="34" t="s">
        <v>124</v>
      </c>
      <c r="F57" s="7">
        <f>1200-10</f>
        <v>1190</v>
      </c>
      <c r="G57" s="7" t="s">
        <v>12</v>
      </c>
      <c r="H57" s="35">
        <v>90.27</v>
      </c>
      <c r="I57" s="36">
        <f t="shared" si="1"/>
        <v>107421.29999999999</v>
      </c>
    </row>
    <row r="58" spans="1:10" x14ac:dyDescent="0.25">
      <c r="A58" s="31">
        <v>59</v>
      </c>
      <c r="B58" s="32">
        <v>45230</v>
      </c>
      <c r="C58" s="33">
        <v>45230</v>
      </c>
      <c r="D58" s="9" t="s">
        <v>125</v>
      </c>
      <c r="E58" s="34" t="s">
        <v>126</v>
      </c>
      <c r="F58" s="7">
        <f>350-75-60-4-90</f>
        <v>121</v>
      </c>
      <c r="G58" s="7" t="s">
        <v>12</v>
      </c>
      <c r="H58" s="35">
        <v>30.054600000000001</v>
      </c>
      <c r="I58" s="36">
        <f t="shared" si="1"/>
        <v>3636.6066000000001</v>
      </c>
      <c r="J58" s="21"/>
    </row>
    <row r="59" spans="1:10" x14ac:dyDescent="0.25">
      <c r="A59" s="31">
        <v>61</v>
      </c>
      <c r="B59" s="32">
        <v>44518</v>
      </c>
      <c r="C59" s="33">
        <v>44518</v>
      </c>
      <c r="D59" s="9" t="s">
        <v>127</v>
      </c>
      <c r="E59" s="34" t="s">
        <v>128</v>
      </c>
      <c r="F59" s="7">
        <f>12-1-2-1-2-1-1</f>
        <v>4</v>
      </c>
      <c r="G59" s="7" t="s">
        <v>12</v>
      </c>
      <c r="H59" s="35">
        <v>1172.625</v>
      </c>
      <c r="I59" s="36">
        <f>H59*F59</f>
        <v>4690.5</v>
      </c>
    </row>
    <row r="60" spans="1:10" x14ac:dyDescent="0.25">
      <c r="A60" s="31">
        <v>62</v>
      </c>
      <c r="B60" s="32">
        <v>43329</v>
      </c>
      <c r="C60" s="33">
        <v>43329</v>
      </c>
      <c r="D60" s="9" t="s">
        <v>127</v>
      </c>
      <c r="E60" s="34" t="s">
        <v>129</v>
      </c>
      <c r="F60" s="7">
        <f>36-1-2</f>
        <v>33</v>
      </c>
      <c r="G60" s="7" t="s">
        <v>130</v>
      </c>
      <c r="H60" s="38">
        <v>283.91000000000003</v>
      </c>
      <c r="I60" s="36">
        <f t="shared" ref="I60:I62" si="2">+F60*H60</f>
        <v>9369.0300000000007</v>
      </c>
    </row>
    <row r="61" spans="1:10" x14ac:dyDescent="0.25">
      <c r="A61" s="31">
        <v>63</v>
      </c>
      <c r="B61" s="32">
        <v>45014</v>
      </c>
      <c r="C61" s="33">
        <v>45014</v>
      </c>
      <c r="D61" s="9" t="s">
        <v>131</v>
      </c>
      <c r="E61" s="34" t="s">
        <v>132</v>
      </c>
      <c r="F61" s="7">
        <f>5000-365-308-190-39-213-262-322-318-125-260-46-144-326</f>
        <v>2082</v>
      </c>
      <c r="G61" s="7" t="s">
        <v>130</v>
      </c>
      <c r="H61" s="38">
        <v>299.36599999999999</v>
      </c>
      <c r="I61" s="36">
        <f t="shared" si="2"/>
        <v>623280.01199999999</v>
      </c>
      <c r="J61" s="21"/>
    </row>
    <row r="62" spans="1:10" x14ac:dyDescent="0.25">
      <c r="A62" s="31">
        <v>65</v>
      </c>
      <c r="B62" s="32">
        <v>44761</v>
      </c>
      <c r="C62" s="33">
        <v>44761</v>
      </c>
      <c r="D62" s="9" t="s">
        <v>133</v>
      </c>
      <c r="E62" s="34" t="s">
        <v>134</v>
      </c>
      <c r="F62" s="7">
        <f>1100-20-32-53</f>
        <v>995</v>
      </c>
      <c r="G62" s="7" t="s">
        <v>130</v>
      </c>
      <c r="H62" s="38">
        <v>402.99360000000001</v>
      </c>
      <c r="I62" s="36">
        <f t="shared" si="2"/>
        <v>400978.63200000004</v>
      </c>
      <c r="J62" s="21"/>
    </row>
    <row r="63" spans="1:10" x14ac:dyDescent="0.25">
      <c r="A63" s="31">
        <v>67</v>
      </c>
      <c r="B63" s="32">
        <v>44748</v>
      </c>
      <c r="C63" s="33">
        <v>44748</v>
      </c>
      <c r="D63" s="9" t="s">
        <v>135</v>
      </c>
      <c r="E63" s="34" t="s">
        <v>136</v>
      </c>
      <c r="F63" s="7">
        <f>142-1-2</f>
        <v>139</v>
      </c>
      <c r="G63" s="7" t="s">
        <v>12</v>
      </c>
      <c r="H63" s="35">
        <v>305.02999999999997</v>
      </c>
      <c r="I63" s="36">
        <f t="shared" ref="I63:I86" si="3">+F63*H63</f>
        <v>42399.17</v>
      </c>
    </row>
    <row r="64" spans="1:10" x14ac:dyDescent="0.25">
      <c r="A64" s="31">
        <v>68</v>
      </c>
      <c r="B64" s="32">
        <v>44166</v>
      </c>
      <c r="C64" s="33">
        <v>44166</v>
      </c>
      <c r="D64" s="9" t="s">
        <v>137</v>
      </c>
      <c r="E64" s="34" t="s">
        <v>138</v>
      </c>
      <c r="F64" s="7">
        <f>10-1</f>
        <v>9</v>
      </c>
      <c r="G64" s="7" t="s">
        <v>12</v>
      </c>
      <c r="H64" s="35">
        <v>554.6</v>
      </c>
      <c r="I64" s="36">
        <f t="shared" si="3"/>
        <v>4991.4000000000005</v>
      </c>
    </row>
    <row r="65" spans="1:10" x14ac:dyDescent="0.25">
      <c r="A65" s="31">
        <v>69</v>
      </c>
      <c r="B65" s="32">
        <v>44166</v>
      </c>
      <c r="C65" s="33">
        <v>44166</v>
      </c>
      <c r="D65" s="9" t="s">
        <v>139</v>
      </c>
      <c r="E65" s="34" t="s">
        <v>140</v>
      </c>
      <c r="F65" s="7">
        <f>200-5-2-2-1-3-1-1-3-3-4-2-38-10-3-3-3-1-2-1-2-5-4-6</f>
        <v>95</v>
      </c>
      <c r="G65" s="7" t="s">
        <v>12</v>
      </c>
      <c r="H65" s="35">
        <v>47.2</v>
      </c>
      <c r="I65" s="36">
        <f t="shared" si="3"/>
        <v>4484</v>
      </c>
      <c r="J65" s="21"/>
    </row>
    <row r="66" spans="1:10" x14ac:dyDescent="0.25">
      <c r="A66" s="31">
        <v>70</v>
      </c>
      <c r="B66" s="32">
        <v>44748</v>
      </c>
      <c r="C66" s="33">
        <v>44748</v>
      </c>
      <c r="D66" s="9" t="s">
        <v>139</v>
      </c>
      <c r="E66" s="34" t="s">
        <v>140</v>
      </c>
      <c r="F66" s="7">
        <v>150</v>
      </c>
      <c r="G66" s="7" t="s">
        <v>12</v>
      </c>
      <c r="H66" s="35">
        <v>40.71</v>
      </c>
      <c r="I66" s="36">
        <f t="shared" si="3"/>
        <v>6106.5</v>
      </c>
    </row>
    <row r="67" spans="1:10" x14ac:dyDescent="0.25">
      <c r="A67" s="31">
        <v>71</v>
      </c>
      <c r="B67" s="32">
        <v>45230</v>
      </c>
      <c r="C67" s="33">
        <v>45230</v>
      </c>
      <c r="D67" s="9" t="s">
        <v>139</v>
      </c>
      <c r="E67" s="34" t="s">
        <v>140</v>
      </c>
      <c r="F67" s="7">
        <v>100</v>
      </c>
      <c r="G67" s="7" t="s">
        <v>12</v>
      </c>
      <c r="H67" s="35">
        <v>66.08</v>
      </c>
      <c r="I67" s="36">
        <f t="shared" si="3"/>
        <v>6608</v>
      </c>
    </row>
    <row r="68" spans="1:10" x14ac:dyDescent="0.25">
      <c r="A68" s="31">
        <v>73</v>
      </c>
      <c r="B68" s="32">
        <v>44748</v>
      </c>
      <c r="C68" s="33">
        <v>44748</v>
      </c>
      <c r="D68" s="9" t="s">
        <v>141</v>
      </c>
      <c r="E68" s="34" t="s">
        <v>142</v>
      </c>
      <c r="F68" s="7">
        <f>150-4-11-3</f>
        <v>132</v>
      </c>
      <c r="G68" s="7" t="s">
        <v>12</v>
      </c>
      <c r="H68" s="35">
        <v>51.33</v>
      </c>
      <c r="I68" s="36">
        <f t="shared" si="3"/>
        <v>6775.5599999999995</v>
      </c>
    </row>
    <row r="69" spans="1:10" x14ac:dyDescent="0.25">
      <c r="A69" s="31">
        <v>74</v>
      </c>
      <c r="B69" s="32">
        <v>45230</v>
      </c>
      <c r="C69" s="33">
        <v>45230</v>
      </c>
      <c r="D69" s="9" t="s">
        <v>141</v>
      </c>
      <c r="E69" s="34" t="s">
        <v>142</v>
      </c>
      <c r="F69" s="7">
        <v>100</v>
      </c>
      <c r="G69" s="7" t="s">
        <v>12</v>
      </c>
      <c r="H69" s="35">
        <v>86.73</v>
      </c>
      <c r="I69" s="36">
        <f t="shared" si="3"/>
        <v>8673</v>
      </c>
    </row>
    <row r="70" spans="1:10" x14ac:dyDescent="0.25">
      <c r="A70" s="31">
        <v>75</v>
      </c>
      <c r="B70" s="32">
        <v>44166</v>
      </c>
      <c r="C70" s="33">
        <v>44166</v>
      </c>
      <c r="D70" s="9" t="s">
        <v>143</v>
      </c>
      <c r="E70" s="34" t="s">
        <v>144</v>
      </c>
      <c r="F70" s="7">
        <f>1200-7-28-9-9-10-15-17-11-10-40-30-17-10-6-39-20-21-18-13-7-30-22-37-7-89-50-43-66-70-5-2-24-22-20-25-10-31-68-13-69</f>
        <v>160</v>
      </c>
      <c r="G70" s="7" t="s">
        <v>12</v>
      </c>
      <c r="H70" s="35">
        <v>47.9375</v>
      </c>
      <c r="I70" s="36">
        <f t="shared" si="3"/>
        <v>7670</v>
      </c>
      <c r="J70" s="21"/>
    </row>
    <row r="71" spans="1:10" x14ac:dyDescent="0.25">
      <c r="A71" s="31">
        <v>76</v>
      </c>
      <c r="B71" s="32">
        <v>45230</v>
      </c>
      <c r="C71" s="33">
        <v>45230</v>
      </c>
      <c r="D71" s="9" t="s">
        <v>143</v>
      </c>
      <c r="E71" s="34" t="s">
        <v>144</v>
      </c>
      <c r="F71" s="7">
        <v>1200</v>
      </c>
      <c r="G71" s="7" t="s">
        <v>12</v>
      </c>
      <c r="H71" s="35">
        <v>64.427999999999997</v>
      </c>
      <c r="I71" s="36">
        <f t="shared" si="3"/>
        <v>77313.599999999991</v>
      </c>
    </row>
    <row r="72" spans="1:10" x14ac:dyDescent="0.25">
      <c r="A72" s="31">
        <v>77</v>
      </c>
      <c r="B72" s="32">
        <v>44748</v>
      </c>
      <c r="C72" s="33">
        <v>44748</v>
      </c>
      <c r="D72" s="9" t="s">
        <v>145</v>
      </c>
      <c r="E72" s="34" t="s">
        <v>146</v>
      </c>
      <c r="F72" s="7">
        <f>2039-63-8-32-59-84-55-23-9-44-25-15</f>
        <v>1622</v>
      </c>
      <c r="G72" s="7" t="s">
        <v>12</v>
      </c>
      <c r="H72" s="35">
        <v>29.66</v>
      </c>
      <c r="I72" s="36">
        <f t="shared" si="3"/>
        <v>48108.52</v>
      </c>
      <c r="J72" s="21"/>
    </row>
    <row r="73" spans="1:10" x14ac:dyDescent="0.25">
      <c r="A73" s="31">
        <v>78</v>
      </c>
      <c r="B73" s="32">
        <v>45230</v>
      </c>
      <c r="C73" s="33">
        <v>45230</v>
      </c>
      <c r="D73" s="9" t="s">
        <v>145</v>
      </c>
      <c r="E73" s="34" t="s">
        <v>146</v>
      </c>
      <c r="F73" s="7">
        <v>1800</v>
      </c>
      <c r="G73" s="7" t="s">
        <v>12</v>
      </c>
      <c r="H73" s="35">
        <v>41.630400000000002</v>
      </c>
      <c r="I73" s="36">
        <f t="shared" si="3"/>
        <v>74934.720000000001</v>
      </c>
    </row>
    <row r="74" spans="1:10" x14ac:dyDescent="0.25">
      <c r="A74" s="31">
        <v>79</v>
      </c>
      <c r="B74" s="32">
        <v>45230</v>
      </c>
      <c r="C74" s="33">
        <v>45230</v>
      </c>
      <c r="D74" s="9" t="s">
        <v>147</v>
      </c>
      <c r="E74" s="34" t="s">
        <v>148</v>
      </c>
      <c r="F74" s="7">
        <f>1800-19-7-55-73-43-89</f>
        <v>1514</v>
      </c>
      <c r="G74" s="7" t="s">
        <v>12</v>
      </c>
      <c r="H74" s="35">
        <v>38.999983329999999</v>
      </c>
      <c r="I74" s="36">
        <f t="shared" si="3"/>
        <v>59045.974761619997</v>
      </c>
      <c r="J74" s="21"/>
    </row>
    <row r="75" spans="1:10" x14ac:dyDescent="0.25">
      <c r="A75" s="31">
        <v>81</v>
      </c>
      <c r="B75" s="32">
        <v>44748</v>
      </c>
      <c r="C75" s="33">
        <v>44748</v>
      </c>
      <c r="D75" s="9" t="s">
        <v>149</v>
      </c>
      <c r="E75" s="34" t="s">
        <v>150</v>
      </c>
      <c r="F75" s="7">
        <f>75-2-5-7-3-7-3-9-7-2-3-1-2-7-7</f>
        <v>10</v>
      </c>
      <c r="G75" s="7" t="s">
        <v>12</v>
      </c>
      <c r="H75" s="35">
        <v>30.443999999999999</v>
      </c>
      <c r="I75" s="36">
        <f t="shared" si="3"/>
        <v>304.44</v>
      </c>
      <c r="J75" s="21"/>
    </row>
    <row r="76" spans="1:10" x14ac:dyDescent="0.25">
      <c r="A76" s="31">
        <v>82</v>
      </c>
      <c r="B76" s="32">
        <v>45230</v>
      </c>
      <c r="C76" s="33">
        <v>45230</v>
      </c>
      <c r="D76" s="9" t="s">
        <v>149</v>
      </c>
      <c r="E76" s="34" t="s">
        <v>150</v>
      </c>
      <c r="F76" s="7">
        <v>150</v>
      </c>
      <c r="G76" s="7" t="s">
        <v>12</v>
      </c>
      <c r="H76" s="35">
        <v>80.098399999999998</v>
      </c>
      <c r="I76" s="36">
        <f t="shared" si="3"/>
        <v>12014.76</v>
      </c>
    </row>
    <row r="77" spans="1:10" x14ac:dyDescent="0.25">
      <c r="A77" s="31">
        <v>83</v>
      </c>
      <c r="B77" s="32">
        <v>44753</v>
      </c>
      <c r="C77" s="33">
        <v>44753</v>
      </c>
      <c r="D77" s="9" t="s">
        <v>151</v>
      </c>
      <c r="E77" s="34" t="s">
        <v>152</v>
      </c>
      <c r="F77" s="7">
        <f>100-3-2-10-12-4-13-16</f>
        <v>40</v>
      </c>
      <c r="G77" s="7" t="s">
        <v>12</v>
      </c>
      <c r="H77" s="35">
        <v>17.640999999999998</v>
      </c>
      <c r="I77" s="36">
        <f t="shared" si="3"/>
        <v>705.63999999999987</v>
      </c>
      <c r="J77" s="21"/>
    </row>
    <row r="78" spans="1:10" x14ac:dyDescent="0.25">
      <c r="A78" s="31">
        <v>86</v>
      </c>
      <c r="B78" s="32">
        <v>44748</v>
      </c>
      <c r="C78" s="33">
        <v>44748</v>
      </c>
      <c r="D78" s="9" t="s">
        <v>153</v>
      </c>
      <c r="E78" s="34" t="s">
        <v>154</v>
      </c>
      <c r="F78" s="7">
        <v>200</v>
      </c>
      <c r="G78" s="7" t="s">
        <v>12</v>
      </c>
      <c r="H78" s="35">
        <v>5.31</v>
      </c>
      <c r="I78" s="36">
        <f t="shared" si="3"/>
        <v>1062</v>
      </c>
    </row>
    <row r="79" spans="1:10" x14ac:dyDescent="0.25">
      <c r="A79" s="31">
        <v>87</v>
      </c>
      <c r="B79" s="32">
        <v>44173</v>
      </c>
      <c r="C79" s="33">
        <v>44173</v>
      </c>
      <c r="D79" s="9" t="s">
        <v>155</v>
      </c>
      <c r="E79" s="34" t="s">
        <v>156</v>
      </c>
      <c r="F79" s="7">
        <f>5000-793-250-255-210-180-280-200-160-107</f>
        <v>2565</v>
      </c>
      <c r="G79" s="7" t="s">
        <v>12</v>
      </c>
      <c r="H79" s="35">
        <v>4.8097000000000003</v>
      </c>
      <c r="I79" s="36">
        <f t="shared" si="3"/>
        <v>12336.880500000001</v>
      </c>
      <c r="J79" s="21"/>
    </row>
    <row r="80" spans="1:10" x14ac:dyDescent="0.25">
      <c r="A80" s="7">
        <v>88</v>
      </c>
      <c r="B80" s="33">
        <v>45268</v>
      </c>
      <c r="C80" s="33">
        <v>45268</v>
      </c>
      <c r="D80" s="9" t="s">
        <v>155</v>
      </c>
      <c r="E80" s="34" t="s">
        <v>156</v>
      </c>
      <c r="F80" s="7">
        <v>8</v>
      </c>
      <c r="G80" s="7" t="s">
        <v>87</v>
      </c>
      <c r="H80" s="35">
        <v>2885.855</v>
      </c>
      <c r="I80" s="45">
        <f t="shared" si="3"/>
        <v>23086.84</v>
      </c>
    </row>
    <row r="81" spans="1:10" x14ac:dyDescent="0.25">
      <c r="A81" s="7">
        <v>89</v>
      </c>
      <c r="B81" s="33">
        <v>45268</v>
      </c>
      <c r="C81" s="33">
        <v>45268</v>
      </c>
      <c r="D81" s="9" t="s">
        <v>155</v>
      </c>
      <c r="E81" s="34" t="s">
        <v>157</v>
      </c>
      <c r="F81" s="7">
        <v>1</v>
      </c>
      <c r="G81" s="7" t="s">
        <v>158</v>
      </c>
      <c r="H81" s="35">
        <v>9274.2099999999991</v>
      </c>
      <c r="I81" s="45">
        <f t="shared" si="3"/>
        <v>9274.2099999999991</v>
      </c>
    </row>
    <row r="82" spans="1:10" x14ac:dyDescent="0.25">
      <c r="A82" s="31">
        <v>90</v>
      </c>
      <c r="B82" s="32">
        <v>45230</v>
      </c>
      <c r="C82" s="33">
        <v>45230</v>
      </c>
      <c r="D82" s="9" t="s">
        <v>159</v>
      </c>
      <c r="E82" s="34" t="s">
        <v>160</v>
      </c>
      <c r="F82" s="7">
        <f>75-2-1-4-13</f>
        <v>55</v>
      </c>
      <c r="G82" s="7" t="s">
        <v>12</v>
      </c>
      <c r="H82" s="35">
        <v>2545.4960000000001</v>
      </c>
      <c r="I82" s="36">
        <f t="shared" si="3"/>
        <v>140002.28</v>
      </c>
    </row>
    <row r="83" spans="1:10" x14ac:dyDescent="0.25">
      <c r="A83" s="31">
        <v>92</v>
      </c>
      <c r="B83" s="32">
        <v>45230</v>
      </c>
      <c r="C83" s="33">
        <v>45230</v>
      </c>
      <c r="D83" s="9" t="s">
        <v>161</v>
      </c>
      <c r="E83" s="34" t="s">
        <v>162</v>
      </c>
      <c r="F83" s="7">
        <f>58-10-2-10</f>
        <v>36</v>
      </c>
      <c r="G83" s="7" t="s">
        <v>12</v>
      </c>
      <c r="H83" s="35">
        <v>118.49550000000001</v>
      </c>
      <c r="I83" s="36">
        <f t="shared" si="3"/>
        <v>4265.8380000000006</v>
      </c>
      <c r="J83" s="21"/>
    </row>
    <row r="84" spans="1:10" x14ac:dyDescent="0.25">
      <c r="A84" s="31">
        <v>93</v>
      </c>
      <c r="B84" s="32">
        <v>44748</v>
      </c>
      <c r="C84" s="33">
        <v>44749</v>
      </c>
      <c r="D84" s="9" t="s">
        <v>163</v>
      </c>
      <c r="E84" s="34" t="s">
        <v>164</v>
      </c>
      <c r="F84" s="7">
        <f>100-8-6-3-11-4-2-7-22-6-3-20-1</f>
        <v>7</v>
      </c>
      <c r="G84" s="7" t="s">
        <v>12</v>
      </c>
      <c r="H84" s="35">
        <v>395.89</v>
      </c>
      <c r="I84" s="36">
        <f t="shared" si="3"/>
        <v>2771.23</v>
      </c>
      <c r="J84" s="21"/>
    </row>
    <row r="85" spans="1:10" x14ac:dyDescent="0.25">
      <c r="A85" s="31">
        <v>94</v>
      </c>
      <c r="B85" s="32">
        <v>45230</v>
      </c>
      <c r="C85" s="33">
        <v>45230</v>
      </c>
      <c r="D85" s="9" t="s">
        <v>163</v>
      </c>
      <c r="E85" s="34" t="s">
        <v>164</v>
      </c>
      <c r="F85" s="7">
        <f>100-5</f>
        <v>95</v>
      </c>
      <c r="G85" s="7" t="s">
        <v>12</v>
      </c>
      <c r="H85" s="35">
        <v>383.5</v>
      </c>
      <c r="I85" s="36">
        <f t="shared" si="3"/>
        <v>36432.5</v>
      </c>
    </row>
    <row r="86" spans="1:10" x14ac:dyDescent="0.25">
      <c r="A86" s="31">
        <v>95</v>
      </c>
      <c r="B86" s="32">
        <v>40500</v>
      </c>
      <c r="C86" s="33">
        <v>40500</v>
      </c>
      <c r="D86" s="9" t="s">
        <v>165</v>
      </c>
      <c r="E86" s="34" t="s">
        <v>166</v>
      </c>
      <c r="F86" s="7">
        <f>417-7-6-5-6-5-10-13-18-6-6-6-11-6-4-5-7-6-6-6-6-6-7-5-6-5-6-5-12-8-5-5-5-5-2-6</f>
        <v>184</v>
      </c>
      <c r="G86" s="7" t="s">
        <v>12</v>
      </c>
      <c r="H86" s="35">
        <v>55</v>
      </c>
      <c r="I86" s="36">
        <f t="shared" si="3"/>
        <v>10120</v>
      </c>
    </row>
    <row r="87" spans="1:10" x14ac:dyDescent="0.25">
      <c r="A87" s="31">
        <v>96</v>
      </c>
      <c r="B87" s="32" t="s">
        <v>167</v>
      </c>
      <c r="C87" s="33" t="s">
        <v>167</v>
      </c>
      <c r="D87" s="9" t="s">
        <v>168</v>
      </c>
      <c r="E87" s="34" t="s">
        <v>169</v>
      </c>
      <c r="F87" s="7">
        <f>516-14-5-9-6-6-11-7-6-9-3-7-6-6-10-10-8-6-7-5-6-9-15-10-7-16-4-23-7-6-16-6-7-2-10-8-4-9-2-9-15</f>
        <v>184</v>
      </c>
      <c r="G87" s="7" t="s">
        <v>12</v>
      </c>
      <c r="H87" s="35">
        <v>110.92</v>
      </c>
      <c r="I87" s="36">
        <f t="shared" ref="I87:I124" si="4">F87*H87</f>
        <v>20409.28</v>
      </c>
      <c r="J87" s="21"/>
    </row>
    <row r="88" spans="1:10" x14ac:dyDescent="0.25">
      <c r="A88" s="31">
        <v>97</v>
      </c>
      <c r="B88" s="32">
        <v>44748</v>
      </c>
      <c r="C88" s="33">
        <v>44748</v>
      </c>
      <c r="D88" s="9" t="s">
        <v>170</v>
      </c>
      <c r="E88" s="34" t="s">
        <v>171</v>
      </c>
      <c r="F88" s="7">
        <f>100-8-6-2-4-4-6-6-2-5-8-10</f>
        <v>39</v>
      </c>
      <c r="G88" s="7" t="s">
        <v>12</v>
      </c>
      <c r="H88" s="35">
        <v>77.644000000000005</v>
      </c>
      <c r="I88" s="36">
        <f t="shared" si="4"/>
        <v>3028.116</v>
      </c>
      <c r="J88" s="21"/>
    </row>
    <row r="89" spans="1:10" x14ac:dyDescent="0.25">
      <c r="A89" s="31">
        <v>99</v>
      </c>
      <c r="B89" s="32">
        <v>44921</v>
      </c>
      <c r="C89" s="33">
        <v>44921</v>
      </c>
      <c r="D89" s="9" t="s">
        <v>172</v>
      </c>
      <c r="E89" s="34" t="s">
        <v>173</v>
      </c>
      <c r="F89" s="7">
        <v>2</v>
      </c>
      <c r="G89" s="7" t="s">
        <v>12</v>
      </c>
      <c r="H89" s="35">
        <v>4472.2</v>
      </c>
      <c r="I89" s="36">
        <f t="shared" si="4"/>
        <v>8944.4</v>
      </c>
    </row>
    <row r="90" spans="1:10" x14ac:dyDescent="0.25">
      <c r="A90" s="31">
        <v>100</v>
      </c>
      <c r="B90" s="32">
        <v>44921</v>
      </c>
      <c r="C90" s="33">
        <v>44921</v>
      </c>
      <c r="D90" s="9" t="s">
        <v>174</v>
      </c>
      <c r="E90" s="34" t="s">
        <v>175</v>
      </c>
      <c r="F90" s="7">
        <v>2</v>
      </c>
      <c r="G90" s="7" t="s">
        <v>12</v>
      </c>
      <c r="H90" s="35">
        <v>4472.2</v>
      </c>
      <c r="I90" s="36">
        <f t="shared" si="4"/>
        <v>8944.4</v>
      </c>
    </row>
    <row r="91" spans="1:10" x14ac:dyDescent="0.25">
      <c r="A91" s="31">
        <v>101</v>
      </c>
      <c r="B91" s="32">
        <v>44921</v>
      </c>
      <c r="C91" s="33">
        <v>44921</v>
      </c>
      <c r="D91" s="9" t="s">
        <v>176</v>
      </c>
      <c r="E91" s="34" t="s">
        <v>177</v>
      </c>
      <c r="F91" s="7">
        <v>2</v>
      </c>
      <c r="G91" s="7" t="s">
        <v>12</v>
      </c>
      <c r="H91" s="35">
        <v>4472.2</v>
      </c>
      <c r="I91" s="36">
        <f t="shared" si="4"/>
        <v>8944.4</v>
      </c>
    </row>
    <row r="92" spans="1:10" x14ac:dyDescent="0.25">
      <c r="A92" s="31">
        <v>103</v>
      </c>
      <c r="B92" s="32">
        <v>44707</v>
      </c>
      <c r="C92" s="33">
        <v>44707</v>
      </c>
      <c r="D92" s="9" t="s">
        <v>178</v>
      </c>
      <c r="E92" s="34" t="s">
        <v>179</v>
      </c>
      <c r="F92" s="7">
        <f>25-8</f>
        <v>17</v>
      </c>
      <c r="G92" s="7" t="s">
        <v>12</v>
      </c>
      <c r="H92" s="35">
        <v>4804.96</v>
      </c>
      <c r="I92" s="36">
        <f t="shared" si="4"/>
        <v>81684.320000000007</v>
      </c>
    </row>
    <row r="93" spans="1:10" x14ac:dyDescent="0.25">
      <c r="A93" s="31">
        <v>104</v>
      </c>
      <c r="B93" s="32">
        <v>44707</v>
      </c>
      <c r="C93" s="33">
        <v>44707</v>
      </c>
      <c r="D93" s="33" t="s">
        <v>180</v>
      </c>
      <c r="E93" s="34" t="s">
        <v>181</v>
      </c>
      <c r="F93" s="7">
        <f>48-2-3-1-8-2</f>
        <v>32</v>
      </c>
      <c r="G93" s="7" t="s">
        <v>12</v>
      </c>
      <c r="H93" s="35">
        <v>4472.2</v>
      </c>
      <c r="I93" s="36">
        <f t="shared" si="4"/>
        <v>143110.39999999999</v>
      </c>
      <c r="J93" s="21"/>
    </row>
    <row r="94" spans="1:10" x14ac:dyDescent="0.25">
      <c r="A94" s="31">
        <v>105</v>
      </c>
      <c r="B94" s="32">
        <v>44707</v>
      </c>
      <c r="C94" s="33">
        <v>44707</v>
      </c>
      <c r="D94" s="33" t="s">
        <v>182</v>
      </c>
      <c r="E94" s="34" t="s">
        <v>183</v>
      </c>
      <c r="F94" s="7">
        <f>12-2-2-3-1</f>
        <v>4</v>
      </c>
      <c r="G94" s="7" t="s">
        <v>12</v>
      </c>
      <c r="H94" s="35">
        <v>4487.54</v>
      </c>
      <c r="I94" s="36">
        <f t="shared" si="4"/>
        <v>17950.16</v>
      </c>
    </row>
    <row r="95" spans="1:10" x14ac:dyDescent="0.25">
      <c r="A95" s="31">
        <v>106</v>
      </c>
      <c r="B95" s="32">
        <v>44921</v>
      </c>
      <c r="C95" s="33">
        <v>44921</v>
      </c>
      <c r="D95" s="33" t="s">
        <v>184</v>
      </c>
      <c r="E95" s="34" t="s">
        <v>185</v>
      </c>
      <c r="F95" s="7">
        <f>5-1-1-1</f>
        <v>2</v>
      </c>
      <c r="G95" s="7" t="s">
        <v>12</v>
      </c>
      <c r="H95" s="35">
        <v>7268.8</v>
      </c>
      <c r="I95" s="36">
        <f t="shared" si="4"/>
        <v>14537.6</v>
      </c>
    </row>
    <row r="96" spans="1:10" x14ac:dyDescent="0.25">
      <c r="A96" s="31">
        <v>107</v>
      </c>
      <c r="B96" s="32">
        <v>44921</v>
      </c>
      <c r="C96" s="33">
        <v>44921</v>
      </c>
      <c r="D96" s="33" t="s">
        <v>186</v>
      </c>
      <c r="E96" s="34" t="s">
        <v>215</v>
      </c>
      <c r="F96" s="7">
        <f>50-1-2-2-1-3-1-2-2-1-3-4-6</f>
        <v>22</v>
      </c>
      <c r="G96" s="7" t="s">
        <v>12</v>
      </c>
      <c r="H96" s="35">
        <v>8602.2000000000007</v>
      </c>
      <c r="I96" s="36">
        <f t="shared" si="4"/>
        <v>189248.40000000002</v>
      </c>
      <c r="J96" s="21"/>
    </row>
    <row r="97" spans="1:10" x14ac:dyDescent="0.25">
      <c r="A97" s="31">
        <v>109</v>
      </c>
      <c r="B97" s="32">
        <v>44921</v>
      </c>
      <c r="C97" s="33">
        <v>44921</v>
      </c>
      <c r="D97" s="9" t="s">
        <v>187</v>
      </c>
      <c r="E97" s="34" t="s">
        <v>188</v>
      </c>
      <c r="F97" s="7">
        <f>300-2-4-10-9-9-4-2-6-10-9-10-9-3-8-12-7-23</f>
        <v>163</v>
      </c>
      <c r="G97" s="7" t="s">
        <v>12</v>
      </c>
      <c r="H97" s="35">
        <v>766.41</v>
      </c>
      <c r="I97" s="36">
        <f t="shared" si="4"/>
        <v>124924.83</v>
      </c>
      <c r="J97" s="21"/>
    </row>
    <row r="98" spans="1:10" x14ac:dyDescent="0.25">
      <c r="A98" s="31">
        <v>110</v>
      </c>
      <c r="B98" s="32">
        <v>44921</v>
      </c>
      <c r="C98" s="33">
        <v>44921</v>
      </c>
      <c r="D98" s="33" t="s">
        <v>189</v>
      </c>
      <c r="E98" s="34" t="s">
        <v>190</v>
      </c>
      <c r="F98" s="7">
        <f>79-1-5-6-3-3-1-5-5-4-4-1-3-10-10-7-10</f>
        <v>1</v>
      </c>
      <c r="G98" s="7" t="s">
        <v>12</v>
      </c>
      <c r="H98" s="35">
        <v>766.41</v>
      </c>
      <c r="I98" s="36">
        <f t="shared" si="4"/>
        <v>766.41</v>
      </c>
      <c r="J98" s="21"/>
    </row>
    <row r="99" spans="1:10" x14ac:dyDescent="0.25">
      <c r="A99" s="31">
        <v>111</v>
      </c>
      <c r="B99" s="32">
        <v>44921</v>
      </c>
      <c r="C99" s="33">
        <v>44921</v>
      </c>
      <c r="D99" s="33" t="s">
        <v>191</v>
      </c>
      <c r="E99" s="34" t="s">
        <v>192</v>
      </c>
      <c r="F99" s="7">
        <f>79-1-5-6-3-3-1-5-5-4-4-1-3-10-10-7-10</f>
        <v>1</v>
      </c>
      <c r="G99" s="7" t="s">
        <v>12</v>
      </c>
      <c r="H99" s="35">
        <v>766.41</v>
      </c>
      <c r="I99" s="36">
        <f t="shared" si="4"/>
        <v>766.41</v>
      </c>
      <c r="J99" s="21"/>
    </row>
    <row r="100" spans="1:10" x14ac:dyDescent="0.25">
      <c r="A100" s="31">
        <v>112</v>
      </c>
      <c r="B100" s="33">
        <v>44921</v>
      </c>
      <c r="C100" s="33">
        <v>44921</v>
      </c>
      <c r="D100" s="33" t="s">
        <v>193</v>
      </c>
      <c r="E100" s="34" t="s">
        <v>194</v>
      </c>
      <c r="F100" s="7">
        <f>79-1-5-6-3-3-1-5-5-4-4-1-3-10-7-10</f>
        <v>11</v>
      </c>
      <c r="G100" s="7" t="s">
        <v>12</v>
      </c>
      <c r="H100" s="35">
        <v>766.41</v>
      </c>
      <c r="I100" s="36">
        <f t="shared" si="4"/>
        <v>8430.51</v>
      </c>
      <c r="J100" s="21"/>
    </row>
    <row r="101" spans="1:10" x14ac:dyDescent="0.25">
      <c r="A101" s="31">
        <v>113</v>
      </c>
      <c r="B101" s="32">
        <v>44187</v>
      </c>
      <c r="C101" s="33">
        <v>44187</v>
      </c>
      <c r="D101" s="33" t="s">
        <v>195</v>
      </c>
      <c r="E101" s="34" t="s">
        <v>196</v>
      </c>
      <c r="F101" s="7">
        <f>25-2-1-1-1-2-1-1</f>
        <v>16</v>
      </c>
      <c r="G101" s="7" t="s">
        <v>12</v>
      </c>
      <c r="H101" s="35">
        <v>607.70000000000005</v>
      </c>
      <c r="I101" s="36">
        <f t="shared" si="4"/>
        <v>9723.2000000000007</v>
      </c>
      <c r="J101" s="21"/>
    </row>
    <row r="102" spans="1:10" x14ac:dyDescent="0.25">
      <c r="A102" s="31">
        <v>114</v>
      </c>
      <c r="B102" s="32">
        <v>44533</v>
      </c>
      <c r="C102" s="33">
        <v>44533</v>
      </c>
      <c r="D102" s="33" t="s">
        <v>195</v>
      </c>
      <c r="E102" s="34" t="s">
        <v>196</v>
      </c>
      <c r="F102" s="7">
        <v>24</v>
      </c>
      <c r="G102" s="7" t="s">
        <v>12</v>
      </c>
      <c r="H102" s="35">
        <v>572.29999999999995</v>
      </c>
      <c r="I102" s="36">
        <f t="shared" si="4"/>
        <v>13735.199999999999</v>
      </c>
    </row>
    <row r="103" spans="1:10" x14ac:dyDescent="0.25">
      <c r="A103" s="31">
        <v>115</v>
      </c>
      <c r="B103" s="32">
        <v>44707</v>
      </c>
      <c r="C103" s="33">
        <v>44707</v>
      </c>
      <c r="D103" s="33" t="s">
        <v>195</v>
      </c>
      <c r="E103" s="34" t="s">
        <v>196</v>
      </c>
      <c r="F103" s="7">
        <v>20</v>
      </c>
      <c r="G103" s="7" t="s">
        <v>12</v>
      </c>
      <c r="H103" s="35">
        <v>601.79999999999995</v>
      </c>
      <c r="I103" s="36">
        <f t="shared" si="4"/>
        <v>12036</v>
      </c>
    </row>
    <row r="104" spans="1:10" x14ac:dyDescent="0.25">
      <c r="A104" s="31">
        <v>116</v>
      </c>
      <c r="B104" s="32">
        <v>44187</v>
      </c>
      <c r="C104" s="33">
        <v>44187</v>
      </c>
      <c r="D104" s="33" t="s">
        <v>197</v>
      </c>
      <c r="E104" s="34" t="s">
        <v>198</v>
      </c>
      <c r="F104" s="7">
        <f>15-1-1-2-1-1</f>
        <v>9</v>
      </c>
      <c r="G104" s="7" t="s">
        <v>12</v>
      </c>
      <c r="H104" s="35">
        <v>607.70000000000005</v>
      </c>
      <c r="I104" s="36">
        <f t="shared" si="4"/>
        <v>5469.3</v>
      </c>
    </row>
    <row r="105" spans="1:10" x14ac:dyDescent="0.25">
      <c r="A105" s="31">
        <v>117</v>
      </c>
      <c r="B105" s="32">
        <v>44533</v>
      </c>
      <c r="C105" s="33">
        <v>44533</v>
      </c>
      <c r="D105" s="33" t="s">
        <v>197</v>
      </c>
      <c r="E105" s="34" t="s">
        <v>198</v>
      </c>
      <c r="F105" s="7">
        <v>16</v>
      </c>
      <c r="G105" s="7" t="s">
        <v>12</v>
      </c>
      <c r="H105" s="35">
        <v>572.29999999999995</v>
      </c>
      <c r="I105" s="36">
        <f t="shared" si="4"/>
        <v>9156.7999999999993</v>
      </c>
    </row>
    <row r="106" spans="1:10" x14ac:dyDescent="0.25">
      <c r="A106" s="31">
        <v>118</v>
      </c>
      <c r="B106" s="32">
        <v>44707</v>
      </c>
      <c r="C106" s="33">
        <v>44707</v>
      </c>
      <c r="D106" s="33" t="s">
        <v>197</v>
      </c>
      <c r="E106" s="34" t="s">
        <v>198</v>
      </c>
      <c r="F106" s="7">
        <v>20</v>
      </c>
      <c r="G106" s="7" t="s">
        <v>12</v>
      </c>
      <c r="H106" s="35">
        <v>601.79999999999995</v>
      </c>
      <c r="I106" s="36">
        <f t="shared" si="4"/>
        <v>12036</v>
      </c>
    </row>
    <row r="107" spans="1:10" x14ac:dyDescent="0.25">
      <c r="A107" s="31">
        <v>119</v>
      </c>
      <c r="B107" s="32">
        <v>44187</v>
      </c>
      <c r="C107" s="33">
        <v>44187</v>
      </c>
      <c r="D107" s="33" t="s">
        <v>199</v>
      </c>
      <c r="E107" s="34" t="s">
        <v>200</v>
      </c>
      <c r="F107" s="7">
        <f>15-1-1-2-1-1</f>
        <v>9</v>
      </c>
      <c r="G107" s="7" t="s">
        <v>12</v>
      </c>
      <c r="H107" s="35">
        <v>607.70000000000005</v>
      </c>
      <c r="I107" s="36">
        <f t="shared" si="4"/>
        <v>5469.3</v>
      </c>
    </row>
    <row r="108" spans="1:10" x14ac:dyDescent="0.25">
      <c r="A108" s="31">
        <v>120</v>
      </c>
      <c r="B108" s="32">
        <v>44533</v>
      </c>
      <c r="C108" s="33">
        <v>44533</v>
      </c>
      <c r="D108" s="33" t="s">
        <v>199</v>
      </c>
      <c r="E108" s="34" t="s">
        <v>200</v>
      </c>
      <c r="F108" s="7">
        <v>16</v>
      </c>
      <c r="G108" s="7" t="s">
        <v>12</v>
      </c>
      <c r="H108" s="35">
        <v>572.29999999999995</v>
      </c>
      <c r="I108" s="36">
        <f t="shared" si="4"/>
        <v>9156.7999999999993</v>
      </c>
    </row>
    <row r="109" spans="1:10" x14ac:dyDescent="0.25">
      <c r="A109" s="31">
        <v>121</v>
      </c>
      <c r="B109" s="32">
        <v>44707</v>
      </c>
      <c r="C109" s="33">
        <v>44707</v>
      </c>
      <c r="D109" s="33" t="s">
        <v>199</v>
      </c>
      <c r="E109" s="34" t="s">
        <v>200</v>
      </c>
      <c r="F109" s="7">
        <v>20</v>
      </c>
      <c r="G109" s="7" t="s">
        <v>12</v>
      </c>
      <c r="H109" s="35">
        <v>601.79999999999995</v>
      </c>
      <c r="I109" s="36">
        <f t="shared" si="4"/>
        <v>12036</v>
      </c>
    </row>
    <row r="110" spans="1:10" x14ac:dyDescent="0.25">
      <c r="A110" s="31">
        <v>122</v>
      </c>
      <c r="B110" s="32">
        <v>44187</v>
      </c>
      <c r="C110" s="33">
        <v>44187</v>
      </c>
      <c r="D110" s="33" t="s">
        <v>201</v>
      </c>
      <c r="E110" s="34" t="s">
        <v>202</v>
      </c>
      <c r="F110" s="7">
        <f>15-1-1-2-1-1</f>
        <v>9</v>
      </c>
      <c r="G110" s="7" t="s">
        <v>12</v>
      </c>
      <c r="H110" s="35">
        <v>607.70000000000005</v>
      </c>
      <c r="I110" s="36">
        <f t="shared" si="4"/>
        <v>5469.3</v>
      </c>
    </row>
    <row r="111" spans="1:10" x14ac:dyDescent="0.25">
      <c r="A111" s="31">
        <v>123</v>
      </c>
      <c r="B111" s="32">
        <v>44533</v>
      </c>
      <c r="C111" s="33">
        <v>44533</v>
      </c>
      <c r="D111" s="33" t="s">
        <v>201</v>
      </c>
      <c r="E111" s="34" t="s">
        <v>202</v>
      </c>
      <c r="F111" s="7">
        <v>16</v>
      </c>
      <c r="G111" s="7" t="s">
        <v>12</v>
      </c>
      <c r="H111" s="35">
        <v>572.29999999999995</v>
      </c>
      <c r="I111" s="36">
        <f t="shared" si="4"/>
        <v>9156.7999999999993</v>
      </c>
    </row>
    <row r="112" spans="1:10" x14ac:dyDescent="0.25">
      <c r="A112" s="31">
        <v>124</v>
      </c>
      <c r="B112" s="32">
        <v>44707</v>
      </c>
      <c r="C112" s="33">
        <v>44707</v>
      </c>
      <c r="D112" s="33" t="s">
        <v>201</v>
      </c>
      <c r="E112" s="34" t="s">
        <v>202</v>
      </c>
      <c r="F112" s="7">
        <v>20</v>
      </c>
      <c r="G112" s="7" t="s">
        <v>12</v>
      </c>
      <c r="H112" s="35">
        <v>601.79999999999995</v>
      </c>
      <c r="I112" s="36">
        <f t="shared" si="4"/>
        <v>12036</v>
      </c>
    </row>
    <row r="113" spans="1:10" x14ac:dyDescent="0.25">
      <c r="A113" s="31">
        <v>125</v>
      </c>
      <c r="B113" s="32">
        <v>44533</v>
      </c>
      <c r="C113" s="33">
        <v>44533</v>
      </c>
      <c r="D113" s="9" t="s">
        <v>203</v>
      </c>
      <c r="E113" s="34" t="s">
        <v>204</v>
      </c>
      <c r="F113" s="7">
        <f>50-3-2-1-2-1-3-3-1-1-1-1-4-1-1-2-2-1-1</f>
        <v>19</v>
      </c>
      <c r="G113" s="7" t="s">
        <v>12</v>
      </c>
      <c r="H113" s="35">
        <v>1109.2</v>
      </c>
      <c r="I113" s="36">
        <f t="shared" si="4"/>
        <v>21074.799999999999</v>
      </c>
    </row>
    <row r="114" spans="1:10" x14ac:dyDescent="0.25">
      <c r="A114" s="31">
        <v>126</v>
      </c>
      <c r="B114" s="32">
        <v>44707</v>
      </c>
      <c r="C114" s="33">
        <v>44707</v>
      </c>
      <c r="D114" s="9" t="s">
        <v>203</v>
      </c>
      <c r="E114" s="34" t="s">
        <v>204</v>
      </c>
      <c r="F114" s="7">
        <v>40</v>
      </c>
      <c r="G114" s="7" t="s">
        <v>12</v>
      </c>
      <c r="H114" s="35">
        <v>540.44000000000005</v>
      </c>
      <c r="I114" s="36">
        <f t="shared" si="4"/>
        <v>21617.600000000002</v>
      </c>
    </row>
    <row r="115" spans="1:10" x14ac:dyDescent="0.25">
      <c r="A115" s="31">
        <v>127</v>
      </c>
      <c r="B115" s="32">
        <v>44921</v>
      </c>
      <c r="C115" s="33">
        <v>44921</v>
      </c>
      <c r="D115" s="9" t="s">
        <v>203</v>
      </c>
      <c r="E115" s="34" t="s">
        <v>204</v>
      </c>
      <c r="F115" s="7">
        <v>50</v>
      </c>
      <c r="G115" s="7" t="s">
        <v>12</v>
      </c>
      <c r="H115" s="35">
        <v>743.4</v>
      </c>
      <c r="I115" s="36">
        <f t="shared" si="4"/>
        <v>37170</v>
      </c>
    </row>
    <row r="116" spans="1:10" x14ac:dyDescent="0.25">
      <c r="A116" s="31">
        <v>128</v>
      </c>
      <c r="B116" s="32">
        <v>44533</v>
      </c>
      <c r="C116" s="33">
        <v>44533</v>
      </c>
      <c r="D116" s="9" t="s">
        <v>205</v>
      </c>
      <c r="E116" s="34" t="s">
        <v>206</v>
      </c>
      <c r="F116" s="7">
        <f>25-1-1-1-2-3-1-1-1-1-1-1-2-1-1</f>
        <v>7</v>
      </c>
      <c r="G116" s="7" t="s">
        <v>12</v>
      </c>
      <c r="H116" s="35">
        <v>1433.7</v>
      </c>
      <c r="I116" s="36">
        <f t="shared" si="4"/>
        <v>10035.9</v>
      </c>
    </row>
    <row r="117" spans="1:10" x14ac:dyDescent="0.25">
      <c r="A117" s="31">
        <v>129</v>
      </c>
      <c r="B117" s="32">
        <v>44707</v>
      </c>
      <c r="C117" s="33">
        <v>44707</v>
      </c>
      <c r="D117" s="9" t="s">
        <v>205</v>
      </c>
      <c r="E117" s="34" t="s">
        <v>206</v>
      </c>
      <c r="F117" s="7">
        <v>20</v>
      </c>
      <c r="G117" s="7" t="s">
        <v>12</v>
      </c>
      <c r="H117" s="35">
        <v>469.64</v>
      </c>
      <c r="I117" s="36">
        <f t="shared" si="4"/>
        <v>9392.7999999999993</v>
      </c>
    </row>
    <row r="118" spans="1:10" x14ac:dyDescent="0.25">
      <c r="A118" s="31">
        <v>130</v>
      </c>
      <c r="B118" s="32">
        <v>44921</v>
      </c>
      <c r="C118" s="33">
        <v>44921</v>
      </c>
      <c r="D118" s="9" t="s">
        <v>205</v>
      </c>
      <c r="E118" s="34" t="s">
        <v>206</v>
      </c>
      <c r="F118" s="7">
        <v>25</v>
      </c>
      <c r="G118" s="7" t="s">
        <v>12</v>
      </c>
      <c r="H118" s="35">
        <v>743.4</v>
      </c>
      <c r="I118" s="36">
        <f t="shared" si="4"/>
        <v>18585</v>
      </c>
    </row>
    <row r="119" spans="1:10" x14ac:dyDescent="0.25">
      <c r="A119" s="31">
        <v>131</v>
      </c>
      <c r="B119" s="32">
        <v>44533</v>
      </c>
      <c r="C119" s="33">
        <v>44533</v>
      </c>
      <c r="D119" s="9" t="s">
        <v>207</v>
      </c>
      <c r="E119" s="34" t="s">
        <v>208</v>
      </c>
      <c r="F119" s="7">
        <f>25-1-1-1-2-3-1-1-1-1-1-1-2-1-1</f>
        <v>7</v>
      </c>
      <c r="G119" s="7" t="s">
        <v>12</v>
      </c>
      <c r="H119" s="35">
        <v>1109.2</v>
      </c>
      <c r="I119" s="36">
        <f t="shared" si="4"/>
        <v>7764.4000000000005</v>
      </c>
    </row>
    <row r="120" spans="1:10" x14ac:dyDescent="0.25">
      <c r="A120" s="31">
        <v>132</v>
      </c>
      <c r="B120" s="32">
        <v>44707</v>
      </c>
      <c r="C120" s="33">
        <v>44707</v>
      </c>
      <c r="D120" s="9" t="s">
        <v>207</v>
      </c>
      <c r="E120" s="34" t="s">
        <v>208</v>
      </c>
      <c r="F120" s="7">
        <v>20</v>
      </c>
      <c r="G120" s="7" t="s">
        <v>12</v>
      </c>
      <c r="H120" s="35">
        <v>469.64</v>
      </c>
      <c r="I120" s="36">
        <f t="shared" si="4"/>
        <v>9392.7999999999993</v>
      </c>
    </row>
    <row r="121" spans="1:10" x14ac:dyDescent="0.25">
      <c r="A121" s="31">
        <v>133</v>
      </c>
      <c r="B121" s="32">
        <v>44921</v>
      </c>
      <c r="C121" s="33">
        <v>44921</v>
      </c>
      <c r="D121" s="9" t="s">
        <v>207</v>
      </c>
      <c r="E121" s="34" t="s">
        <v>208</v>
      </c>
      <c r="F121" s="7">
        <v>25</v>
      </c>
      <c r="G121" s="7" t="s">
        <v>12</v>
      </c>
      <c r="H121" s="35">
        <v>743.4</v>
      </c>
      <c r="I121" s="36">
        <f t="shared" si="4"/>
        <v>18585</v>
      </c>
    </row>
    <row r="122" spans="1:10" x14ac:dyDescent="0.25">
      <c r="A122" s="31">
        <v>134</v>
      </c>
      <c r="B122" s="32">
        <v>44533</v>
      </c>
      <c r="C122" s="33">
        <v>44533</v>
      </c>
      <c r="D122" s="9" t="s">
        <v>209</v>
      </c>
      <c r="E122" s="34" t="s">
        <v>210</v>
      </c>
      <c r="F122" s="7">
        <f>25-1-1-1-2-3-1-1-1-1-1-1-2-1-1</f>
        <v>7</v>
      </c>
      <c r="G122" s="7" t="s">
        <v>12</v>
      </c>
      <c r="H122" s="35">
        <v>1109.2</v>
      </c>
      <c r="I122" s="36">
        <f t="shared" si="4"/>
        <v>7764.4000000000005</v>
      </c>
    </row>
    <row r="123" spans="1:10" x14ac:dyDescent="0.25">
      <c r="A123" s="31">
        <v>135</v>
      </c>
      <c r="B123" s="32">
        <v>44707</v>
      </c>
      <c r="C123" s="33">
        <v>44707</v>
      </c>
      <c r="D123" s="9" t="s">
        <v>209</v>
      </c>
      <c r="E123" s="34" t="s">
        <v>210</v>
      </c>
      <c r="F123" s="7">
        <v>20</v>
      </c>
      <c r="G123" s="7" t="s">
        <v>12</v>
      </c>
      <c r="H123" s="35">
        <v>469.64</v>
      </c>
      <c r="I123" s="36">
        <f t="shared" si="4"/>
        <v>9392.7999999999993</v>
      </c>
    </row>
    <row r="124" spans="1:10" x14ac:dyDescent="0.25">
      <c r="A124" s="31">
        <v>136</v>
      </c>
      <c r="B124" s="32">
        <v>44921</v>
      </c>
      <c r="C124" s="33">
        <v>44921</v>
      </c>
      <c r="D124" s="9" t="s">
        <v>209</v>
      </c>
      <c r="E124" s="34" t="s">
        <v>210</v>
      </c>
      <c r="F124" s="7">
        <v>25</v>
      </c>
      <c r="G124" s="7" t="s">
        <v>12</v>
      </c>
      <c r="H124" s="35">
        <v>743.4</v>
      </c>
      <c r="I124" s="36">
        <f t="shared" si="4"/>
        <v>18585</v>
      </c>
    </row>
    <row r="125" spans="1:10" x14ac:dyDescent="0.25">
      <c r="A125" s="31">
        <v>137</v>
      </c>
      <c r="B125" s="33">
        <v>44903</v>
      </c>
      <c r="C125" s="33">
        <v>44903</v>
      </c>
      <c r="D125" s="9" t="s">
        <v>211</v>
      </c>
      <c r="E125" s="34" t="s">
        <v>212</v>
      </c>
      <c r="F125" s="7">
        <f>700-3-22-51-21-12-38-26-4-59-16-20-22-13-67-34-126-34</f>
        <v>132</v>
      </c>
      <c r="G125" s="7" t="s">
        <v>130</v>
      </c>
      <c r="H125" s="35">
        <v>920.4</v>
      </c>
      <c r="I125" s="45">
        <f>+F125*H125</f>
        <v>121492.8</v>
      </c>
      <c r="J125" s="21"/>
    </row>
    <row r="126" spans="1:10" x14ac:dyDescent="0.25">
      <c r="A126" s="31">
        <v>139</v>
      </c>
      <c r="B126" s="33">
        <v>45268</v>
      </c>
      <c r="C126" s="33">
        <v>45268</v>
      </c>
      <c r="D126" s="9" t="s">
        <v>211</v>
      </c>
      <c r="E126" s="34" t="s">
        <v>212</v>
      </c>
      <c r="F126" s="7">
        <f>42-16</f>
        <v>26</v>
      </c>
      <c r="G126" s="7" t="s">
        <v>158</v>
      </c>
      <c r="H126" s="38">
        <v>9882.5</v>
      </c>
      <c r="I126" s="45">
        <f>+F126*H126</f>
        <v>256945</v>
      </c>
      <c r="J126" s="21"/>
    </row>
    <row r="127" spans="1:10" x14ac:dyDescent="0.25">
      <c r="A127" s="31">
        <v>140</v>
      </c>
      <c r="B127" s="33">
        <v>45268</v>
      </c>
      <c r="C127" s="33">
        <v>45268</v>
      </c>
      <c r="D127" s="9" t="s">
        <v>213</v>
      </c>
      <c r="E127" s="34" t="s">
        <v>214</v>
      </c>
      <c r="F127" s="7">
        <f>20-1-3</f>
        <v>16</v>
      </c>
      <c r="G127" s="7" t="s">
        <v>158</v>
      </c>
      <c r="H127" s="38">
        <v>12223.03</v>
      </c>
      <c r="I127" s="45">
        <f>+F127*H127</f>
        <v>195568.48</v>
      </c>
    </row>
    <row r="128" spans="1:10" x14ac:dyDescent="0.25">
      <c r="A128" s="31">
        <v>141</v>
      </c>
      <c r="B128" s="33">
        <v>45287</v>
      </c>
      <c r="C128" s="33">
        <v>45287</v>
      </c>
      <c r="D128" s="9" t="s">
        <v>211</v>
      </c>
      <c r="E128" s="34" t="s">
        <v>212</v>
      </c>
      <c r="F128" s="7">
        <f>45</f>
        <v>45</v>
      </c>
      <c r="G128" s="7" t="s">
        <v>158</v>
      </c>
      <c r="H128" s="38">
        <v>9882.5</v>
      </c>
      <c r="I128" s="45">
        <f>+F128*H128</f>
        <v>444712.5</v>
      </c>
    </row>
    <row r="129" spans="1:9" x14ac:dyDescent="0.25">
      <c r="A129" s="31">
        <v>142</v>
      </c>
      <c r="B129" s="32">
        <v>45287</v>
      </c>
      <c r="C129" s="32">
        <v>45287</v>
      </c>
      <c r="D129" s="46" t="s">
        <v>213</v>
      </c>
      <c r="E129" s="47" t="s">
        <v>214</v>
      </c>
      <c r="F129" s="31">
        <f>30-2</f>
        <v>28</v>
      </c>
      <c r="G129" s="31" t="s">
        <v>158</v>
      </c>
      <c r="H129" s="48">
        <v>12223.03</v>
      </c>
      <c r="I129" s="36">
        <f>+F129*H129</f>
        <v>342244.84</v>
      </c>
    </row>
    <row r="130" spans="1:9" x14ac:dyDescent="0.25">
      <c r="A130" s="23"/>
      <c r="B130" s="23"/>
      <c r="C130" s="23"/>
      <c r="D130" s="23"/>
      <c r="E130" s="23"/>
      <c r="F130" s="23"/>
      <c r="G130" s="23"/>
      <c r="H130" s="49" t="s">
        <v>57</v>
      </c>
      <c r="I130" s="50">
        <f>SUM(I12:I129)</f>
        <v>5547519.5167985382</v>
      </c>
    </row>
    <row r="131" spans="1:9" x14ac:dyDescent="0.25">
      <c r="A131" s="23"/>
      <c r="B131" s="23"/>
      <c r="C131" s="23"/>
      <c r="D131" s="23"/>
      <c r="E131" s="23"/>
      <c r="F131" s="23"/>
      <c r="G131" s="23"/>
      <c r="H131" s="51"/>
      <c r="I131" s="52"/>
    </row>
    <row r="132" spans="1:9" x14ac:dyDescent="0.25">
      <c r="A132" s="23"/>
      <c r="B132" s="23"/>
      <c r="C132" s="23"/>
      <c r="D132" s="23"/>
      <c r="E132" s="23"/>
      <c r="F132" s="23"/>
      <c r="G132" s="23"/>
      <c r="H132" s="51"/>
      <c r="I132" s="52"/>
    </row>
    <row r="133" spans="1:9" x14ac:dyDescent="0.25">
      <c r="A133" s="23"/>
      <c r="B133" s="23"/>
      <c r="C133" s="23"/>
      <c r="D133" s="23"/>
      <c r="E133" s="23"/>
      <c r="F133" s="23"/>
      <c r="G133" s="23"/>
      <c r="H133" s="51"/>
      <c r="I133" s="52"/>
    </row>
    <row r="135" spans="1:9" x14ac:dyDescent="0.25">
      <c r="D135" s="85" t="s">
        <v>265</v>
      </c>
      <c r="E135" s="85"/>
    </row>
    <row r="136" spans="1:9" x14ac:dyDescent="0.25">
      <c r="D136" s="85" t="s">
        <v>266</v>
      </c>
      <c r="E136" s="85"/>
    </row>
    <row r="137" spans="1:9" ht="15.75" x14ac:dyDescent="0.25">
      <c r="D137" s="80" t="s">
        <v>267</v>
      </c>
      <c r="E137" s="80"/>
      <c r="F137" s="80"/>
      <c r="G137" s="80"/>
    </row>
    <row r="138" spans="1:9" x14ac:dyDescent="0.25">
      <c r="B138" s="81" t="s">
        <v>268</v>
      </c>
    </row>
    <row r="139" spans="1:9" x14ac:dyDescent="0.25">
      <c r="B139" s="81" t="s">
        <v>269</v>
      </c>
    </row>
  </sheetData>
  <mergeCells count="7">
    <mergeCell ref="D136:E136"/>
    <mergeCell ref="A7:I7"/>
    <mergeCell ref="A8:I8"/>
    <mergeCell ref="A9:I9"/>
    <mergeCell ref="A10:I10"/>
    <mergeCell ref="F11:G11"/>
    <mergeCell ref="D135:E135"/>
  </mergeCells>
  <pageMargins left="0.22" right="0.16" top="0.75" bottom="0.75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M44"/>
  <sheetViews>
    <sheetView topLeftCell="A13" workbookViewId="0">
      <selection activeCell="F34" sqref="F34:F35"/>
    </sheetView>
  </sheetViews>
  <sheetFormatPr baseColWidth="10" defaultRowHeight="15" x14ac:dyDescent="0.25"/>
  <cols>
    <col min="1" max="1" width="4.7109375" bestFit="1" customWidth="1"/>
    <col min="2" max="3" width="11.85546875" bestFit="1" customWidth="1"/>
    <col min="4" max="4" width="8.140625" bestFit="1" customWidth="1"/>
    <col min="5" max="5" width="36.42578125" bestFit="1" customWidth="1"/>
    <col min="6" max="6" width="4.42578125" bestFit="1" customWidth="1"/>
    <col min="7" max="7" width="7.28515625" bestFit="1" customWidth="1"/>
    <col min="8" max="8" width="13.5703125" bestFit="1" customWidth="1"/>
    <col min="9" max="9" width="14.5703125" bestFit="1" customWidth="1"/>
    <col min="11" max="13" width="11.42578125" style="21"/>
  </cols>
  <sheetData>
    <row r="7" spans="1:10" x14ac:dyDescent="0.25">
      <c r="A7" s="94"/>
      <c r="B7" s="94"/>
      <c r="C7" s="94"/>
      <c r="D7" s="94"/>
      <c r="E7" s="94"/>
      <c r="F7" s="94"/>
      <c r="G7" s="94"/>
      <c r="H7" s="94"/>
      <c r="I7" s="94"/>
    </row>
    <row r="8" spans="1:10" ht="21" x14ac:dyDescent="0.35">
      <c r="A8" s="95" t="s">
        <v>1</v>
      </c>
      <c r="B8" s="95"/>
      <c r="C8" s="95"/>
      <c r="D8" s="95"/>
      <c r="E8" s="95"/>
      <c r="F8" s="95"/>
      <c r="G8" s="95"/>
      <c r="H8" s="95"/>
      <c r="I8" s="95"/>
    </row>
    <row r="9" spans="1:10" ht="15.75" x14ac:dyDescent="0.25">
      <c r="A9" s="96" t="s">
        <v>216</v>
      </c>
      <c r="B9" s="96"/>
      <c r="C9" s="96"/>
      <c r="D9" s="96"/>
      <c r="E9" s="96"/>
      <c r="F9" s="96"/>
      <c r="G9" s="96"/>
      <c r="H9" s="96"/>
      <c r="I9" s="96"/>
    </row>
    <row r="10" spans="1:10" ht="15.75" x14ac:dyDescent="0.25">
      <c r="A10" s="89" t="s">
        <v>333</v>
      </c>
      <c r="B10" s="89"/>
      <c r="C10" s="89"/>
      <c r="D10" s="89"/>
      <c r="E10" s="89"/>
      <c r="F10" s="89"/>
      <c r="G10" s="89"/>
      <c r="H10" s="89"/>
      <c r="I10" s="89"/>
    </row>
    <row r="11" spans="1:10" ht="63" x14ac:dyDescent="0.25">
      <c r="A11" s="53" t="s">
        <v>60</v>
      </c>
      <c r="B11" s="54" t="s">
        <v>217</v>
      </c>
      <c r="C11" s="54" t="s">
        <v>4</v>
      </c>
      <c r="D11" s="55" t="s">
        <v>5</v>
      </c>
      <c r="E11" s="56" t="s">
        <v>6</v>
      </c>
      <c r="F11" s="97" t="s">
        <v>7</v>
      </c>
      <c r="G11" s="97"/>
      <c r="H11" s="56" t="s">
        <v>218</v>
      </c>
      <c r="I11" s="57" t="s">
        <v>9</v>
      </c>
      <c r="J11" s="18"/>
    </row>
    <row r="12" spans="1:10" ht="15.75" x14ac:dyDescent="0.25">
      <c r="A12" s="58">
        <v>2</v>
      </c>
      <c r="B12" s="59">
        <v>45287</v>
      </c>
      <c r="C12" s="59">
        <v>45287</v>
      </c>
      <c r="D12" s="60" t="s">
        <v>219</v>
      </c>
      <c r="E12" s="61" t="s">
        <v>220</v>
      </c>
      <c r="F12" s="62">
        <f>300-35-80-85</f>
        <v>100</v>
      </c>
      <c r="G12" s="62" t="s">
        <v>12</v>
      </c>
      <c r="H12" s="62">
        <v>123.9</v>
      </c>
      <c r="I12" s="63">
        <f>F12*H12</f>
        <v>12390</v>
      </c>
      <c r="J12" s="21"/>
    </row>
    <row r="13" spans="1:10" ht="15.75" x14ac:dyDescent="0.25">
      <c r="A13" s="58">
        <v>4</v>
      </c>
      <c r="B13" s="59">
        <v>45287</v>
      </c>
      <c r="C13" s="59">
        <v>45287</v>
      </c>
      <c r="D13" s="60" t="s">
        <v>221</v>
      </c>
      <c r="E13" s="64" t="s">
        <v>222</v>
      </c>
      <c r="F13" s="62">
        <f>30-5-16</f>
        <v>9</v>
      </c>
      <c r="G13" s="62" t="s">
        <v>223</v>
      </c>
      <c r="H13" s="63">
        <v>1062</v>
      </c>
      <c r="I13" s="63">
        <f>F13*H13</f>
        <v>9558</v>
      </c>
      <c r="J13" s="18"/>
    </row>
    <row r="14" spans="1:10" ht="15.75" x14ac:dyDescent="0.25">
      <c r="A14" s="58">
        <v>6</v>
      </c>
      <c r="B14" s="59">
        <v>44922</v>
      </c>
      <c r="C14" s="59">
        <v>44922</v>
      </c>
      <c r="D14" s="60" t="s">
        <v>224</v>
      </c>
      <c r="E14" s="65" t="s">
        <v>225</v>
      </c>
      <c r="F14" s="58">
        <f>85-20-29-21</f>
        <v>15</v>
      </c>
      <c r="G14" s="58" t="s">
        <v>226</v>
      </c>
      <c r="H14" s="63">
        <v>62.658000000000001</v>
      </c>
      <c r="I14" s="63">
        <f t="shared" ref="I14:I33" si="0">F14*H14</f>
        <v>939.87</v>
      </c>
      <c r="J14" s="21"/>
    </row>
    <row r="15" spans="1:10" ht="15.75" x14ac:dyDescent="0.25">
      <c r="A15" s="58">
        <v>7</v>
      </c>
      <c r="B15" s="59">
        <v>44634</v>
      </c>
      <c r="C15" s="59">
        <v>44634</v>
      </c>
      <c r="D15" s="60" t="s">
        <v>227</v>
      </c>
      <c r="E15" s="65" t="s">
        <v>228</v>
      </c>
      <c r="F15" s="58">
        <f>100-2-11-7-4-15-2-6-5-3-2-9</f>
        <v>34</v>
      </c>
      <c r="G15" s="58" t="s">
        <v>12</v>
      </c>
      <c r="H15" s="63">
        <v>127.44</v>
      </c>
      <c r="I15" s="63">
        <f t="shared" si="0"/>
        <v>4332.96</v>
      </c>
      <c r="J15" s="18"/>
    </row>
    <row r="16" spans="1:10" ht="15.75" x14ac:dyDescent="0.25">
      <c r="A16" s="58">
        <v>8</v>
      </c>
      <c r="B16" s="59">
        <v>44784</v>
      </c>
      <c r="C16" s="59">
        <v>44784</v>
      </c>
      <c r="D16" s="60" t="s">
        <v>227</v>
      </c>
      <c r="E16" s="65" t="s">
        <v>228</v>
      </c>
      <c r="F16" s="58">
        <v>100</v>
      </c>
      <c r="G16" s="58" t="s">
        <v>12</v>
      </c>
      <c r="H16" s="63">
        <v>151.04</v>
      </c>
      <c r="I16" s="63">
        <f t="shared" si="0"/>
        <v>15104</v>
      </c>
      <c r="J16" s="18"/>
    </row>
    <row r="17" spans="1:10" ht="15.75" x14ac:dyDescent="0.25">
      <c r="A17" s="58">
        <v>10</v>
      </c>
      <c r="B17" s="59">
        <v>44784</v>
      </c>
      <c r="C17" s="59">
        <v>44784</v>
      </c>
      <c r="D17" s="60" t="s">
        <v>229</v>
      </c>
      <c r="E17" s="65" t="s">
        <v>230</v>
      </c>
      <c r="F17" s="58">
        <f>100-24-17-16</f>
        <v>43</v>
      </c>
      <c r="G17" s="58" t="s">
        <v>12</v>
      </c>
      <c r="H17" s="63">
        <v>407.1</v>
      </c>
      <c r="I17" s="63">
        <f t="shared" si="0"/>
        <v>17505.3</v>
      </c>
      <c r="J17" s="21"/>
    </row>
    <row r="18" spans="1:10" ht="15.75" x14ac:dyDescent="0.25">
      <c r="A18" s="58">
        <v>11</v>
      </c>
      <c r="B18" s="59">
        <v>45287</v>
      </c>
      <c r="C18" s="59">
        <v>45287</v>
      </c>
      <c r="D18" s="60" t="s">
        <v>229</v>
      </c>
      <c r="E18" s="65" t="s">
        <v>230</v>
      </c>
      <c r="F18" s="58">
        <v>150</v>
      </c>
      <c r="G18" s="58" t="s">
        <v>12</v>
      </c>
      <c r="H18" s="63">
        <v>118</v>
      </c>
      <c r="I18" s="63">
        <f t="shared" si="0"/>
        <v>17700</v>
      </c>
      <c r="J18" s="18"/>
    </row>
    <row r="19" spans="1:10" ht="15.75" x14ac:dyDescent="0.25">
      <c r="A19" s="58">
        <v>13</v>
      </c>
      <c r="B19" s="59">
        <v>45279</v>
      </c>
      <c r="C19" s="59">
        <v>45279</v>
      </c>
      <c r="D19" s="60" t="s">
        <v>233</v>
      </c>
      <c r="E19" s="65" t="s">
        <v>231</v>
      </c>
      <c r="F19" s="58">
        <f>200-38-56</f>
        <v>106</v>
      </c>
      <c r="G19" s="63" t="s">
        <v>232</v>
      </c>
      <c r="H19" s="63">
        <v>109.15</v>
      </c>
      <c r="I19" s="63">
        <f t="shared" si="0"/>
        <v>11569.900000000001</v>
      </c>
      <c r="J19" s="18"/>
    </row>
    <row r="20" spans="1:10" ht="15.75" x14ac:dyDescent="0.25">
      <c r="A20" s="58">
        <v>14</v>
      </c>
      <c r="B20" s="59">
        <v>45107</v>
      </c>
      <c r="C20" s="59">
        <v>45107</v>
      </c>
      <c r="D20" s="60" t="s">
        <v>234</v>
      </c>
      <c r="E20" s="65" t="s">
        <v>235</v>
      </c>
      <c r="F20" s="58">
        <f>150-1-4-7-1-2-13-23-8</f>
        <v>91</v>
      </c>
      <c r="G20" s="58" t="s">
        <v>236</v>
      </c>
      <c r="H20" s="63">
        <v>381.73</v>
      </c>
      <c r="I20" s="63">
        <f t="shared" si="0"/>
        <v>34737.43</v>
      </c>
      <c r="J20" s="21"/>
    </row>
    <row r="21" spans="1:10" ht="15.75" x14ac:dyDescent="0.25">
      <c r="A21" s="58">
        <v>16</v>
      </c>
      <c r="B21" s="59">
        <v>45288</v>
      </c>
      <c r="C21" s="59">
        <v>45288</v>
      </c>
      <c r="D21" s="60" t="s">
        <v>238</v>
      </c>
      <c r="E21" s="65" t="s">
        <v>237</v>
      </c>
      <c r="F21" s="58">
        <f>200-28-73-68</f>
        <v>31</v>
      </c>
      <c r="G21" s="58" t="s">
        <v>232</v>
      </c>
      <c r="H21" s="63">
        <v>88.5</v>
      </c>
      <c r="I21" s="63">
        <f t="shared" si="0"/>
        <v>2743.5</v>
      </c>
      <c r="J21" s="21"/>
    </row>
    <row r="22" spans="1:10" ht="15.75" x14ac:dyDescent="0.25">
      <c r="A22" s="58">
        <v>20</v>
      </c>
      <c r="B22" s="59">
        <v>45287</v>
      </c>
      <c r="C22" s="59">
        <v>45287</v>
      </c>
      <c r="D22" s="60" t="s">
        <v>233</v>
      </c>
      <c r="E22" s="65" t="s">
        <v>239</v>
      </c>
      <c r="F22" s="58">
        <f>200-9-26</f>
        <v>165</v>
      </c>
      <c r="G22" s="58" t="s">
        <v>12</v>
      </c>
      <c r="H22" s="63">
        <v>129.80000000000001</v>
      </c>
      <c r="I22" s="63">
        <f t="shared" si="0"/>
        <v>21417.000000000004</v>
      </c>
      <c r="J22" s="18"/>
    </row>
    <row r="23" spans="1:10" ht="15.75" x14ac:dyDescent="0.25">
      <c r="A23" s="58">
        <v>22</v>
      </c>
      <c r="B23" s="59">
        <v>45287</v>
      </c>
      <c r="C23" s="59">
        <v>45287</v>
      </c>
      <c r="D23" s="60" t="s">
        <v>240</v>
      </c>
      <c r="E23" s="65" t="s">
        <v>241</v>
      </c>
      <c r="F23" s="58">
        <f>250-45</f>
        <v>205</v>
      </c>
      <c r="G23" s="58" t="s">
        <v>242</v>
      </c>
      <c r="H23" s="63">
        <v>82.6</v>
      </c>
      <c r="I23" s="63">
        <f t="shared" si="0"/>
        <v>16933</v>
      </c>
      <c r="J23" s="18"/>
    </row>
    <row r="24" spans="1:10" ht="15.75" x14ac:dyDescent="0.25">
      <c r="A24" s="58">
        <v>24</v>
      </c>
      <c r="B24" s="59">
        <v>45287</v>
      </c>
      <c r="C24" s="59">
        <v>45287</v>
      </c>
      <c r="D24" s="60" t="s">
        <v>243</v>
      </c>
      <c r="E24" s="65" t="s">
        <v>244</v>
      </c>
      <c r="F24" s="58">
        <f>180-17-44</f>
        <v>119</v>
      </c>
      <c r="G24" s="58" t="s">
        <v>232</v>
      </c>
      <c r="H24" s="63">
        <v>100.3</v>
      </c>
      <c r="I24" s="63">
        <f t="shared" si="0"/>
        <v>11935.699999999999</v>
      </c>
      <c r="J24" s="18"/>
    </row>
    <row r="25" spans="1:10" ht="15.75" x14ac:dyDescent="0.25">
      <c r="A25" s="58">
        <v>26</v>
      </c>
      <c r="B25" s="59">
        <v>45287</v>
      </c>
      <c r="C25" s="59">
        <v>45287</v>
      </c>
      <c r="D25" s="60" t="s">
        <v>245</v>
      </c>
      <c r="E25" s="65" t="s">
        <v>246</v>
      </c>
      <c r="F25" s="58">
        <f>200-82-22-70</f>
        <v>26</v>
      </c>
      <c r="G25" s="58" t="s">
        <v>247</v>
      </c>
      <c r="H25" s="63">
        <v>53.1</v>
      </c>
      <c r="I25" s="63">
        <f t="shared" si="0"/>
        <v>1380.6000000000001</v>
      </c>
      <c r="J25" s="21"/>
    </row>
    <row r="26" spans="1:10" ht="15.75" x14ac:dyDescent="0.25">
      <c r="A26" s="58">
        <v>27</v>
      </c>
      <c r="B26" s="59">
        <v>44784</v>
      </c>
      <c r="C26" s="59">
        <v>44784</v>
      </c>
      <c r="D26" s="60" t="s">
        <v>234</v>
      </c>
      <c r="E26" s="65" t="s">
        <v>248</v>
      </c>
      <c r="F26" s="58">
        <f>100-2-9-8-13-10-4-7-2</f>
        <v>45</v>
      </c>
      <c r="G26" s="58" t="s">
        <v>232</v>
      </c>
      <c r="H26" s="63">
        <v>348.1</v>
      </c>
      <c r="I26" s="63">
        <f t="shared" si="0"/>
        <v>15664.500000000002</v>
      </c>
      <c r="J26" s="18"/>
    </row>
    <row r="27" spans="1:10" ht="15.75" x14ac:dyDescent="0.25">
      <c r="A27" s="58">
        <v>28</v>
      </c>
      <c r="B27" s="59">
        <v>44918</v>
      </c>
      <c r="C27" s="59">
        <v>44918</v>
      </c>
      <c r="D27" s="60" t="s">
        <v>234</v>
      </c>
      <c r="E27" s="65" t="s">
        <v>248</v>
      </c>
      <c r="F27" s="58">
        <v>100</v>
      </c>
      <c r="G27" s="58" t="s">
        <v>232</v>
      </c>
      <c r="H27" s="63">
        <v>358.13</v>
      </c>
      <c r="I27" s="63">
        <f t="shared" si="0"/>
        <v>35813</v>
      </c>
      <c r="J27" s="18"/>
    </row>
    <row r="28" spans="1:10" ht="15.75" x14ac:dyDescent="0.25">
      <c r="A28" s="58">
        <v>30</v>
      </c>
      <c r="B28" s="59" t="s">
        <v>250</v>
      </c>
      <c r="C28" s="59" t="s">
        <v>250</v>
      </c>
      <c r="D28" s="60" t="s">
        <v>238</v>
      </c>
      <c r="E28" s="65" t="s">
        <v>249</v>
      </c>
      <c r="F28" s="58">
        <f>224-7-67-19</f>
        <v>131</v>
      </c>
      <c r="G28" s="58" t="s">
        <v>226</v>
      </c>
      <c r="H28" s="63">
        <v>1150.5</v>
      </c>
      <c r="I28" s="63">
        <f t="shared" si="0"/>
        <v>150715.5</v>
      </c>
      <c r="J28" s="21"/>
    </row>
    <row r="29" spans="1:10" ht="15.75" x14ac:dyDescent="0.25">
      <c r="A29" s="58">
        <v>32</v>
      </c>
      <c r="B29" s="59" t="s">
        <v>250</v>
      </c>
      <c r="C29" s="59" t="s">
        <v>250</v>
      </c>
      <c r="D29" s="60" t="s">
        <v>251</v>
      </c>
      <c r="E29" s="65" t="s">
        <v>252</v>
      </c>
      <c r="F29" s="58">
        <f>310-16</f>
        <v>294</v>
      </c>
      <c r="G29" s="58" t="s">
        <v>226</v>
      </c>
      <c r="H29" s="63">
        <v>1150.5</v>
      </c>
      <c r="I29" s="63">
        <f>F29*H29</f>
        <v>338247</v>
      </c>
      <c r="J29" s="18"/>
    </row>
    <row r="30" spans="1:10" ht="15.75" x14ac:dyDescent="0.25">
      <c r="A30" s="58">
        <v>33</v>
      </c>
      <c r="B30" s="59">
        <v>45287</v>
      </c>
      <c r="C30" s="59">
        <v>45287</v>
      </c>
      <c r="D30" s="60" t="s">
        <v>253</v>
      </c>
      <c r="E30" s="65" t="s">
        <v>254</v>
      </c>
      <c r="F30" s="58">
        <f>78-12-17-21-23</f>
        <v>5</v>
      </c>
      <c r="G30" s="58" t="s">
        <v>12</v>
      </c>
      <c r="H30" s="63">
        <v>100.3</v>
      </c>
      <c r="I30" s="63">
        <f t="shared" si="0"/>
        <v>501.5</v>
      </c>
      <c r="J30" s="21"/>
    </row>
    <row r="31" spans="1:10" ht="15.75" x14ac:dyDescent="0.25">
      <c r="A31" s="58">
        <v>34</v>
      </c>
      <c r="B31" s="59">
        <v>45287</v>
      </c>
      <c r="C31" s="59">
        <v>45287</v>
      </c>
      <c r="D31" s="60" t="s">
        <v>255</v>
      </c>
      <c r="E31" s="66" t="s">
        <v>256</v>
      </c>
      <c r="F31" s="58">
        <f>296-35-53-34-29</f>
        <v>145</v>
      </c>
      <c r="G31" s="58" t="s">
        <v>12</v>
      </c>
      <c r="H31" s="63">
        <v>212.4</v>
      </c>
      <c r="I31" s="63">
        <f t="shared" si="0"/>
        <v>30798</v>
      </c>
      <c r="J31" s="21"/>
    </row>
    <row r="32" spans="1:10" ht="15.75" x14ac:dyDescent="0.25">
      <c r="A32" s="58">
        <v>35</v>
      </c>
      <c r="B32" s="59">
        <v>45287</v>
      </c>
      <c r="C32" s="59">
        <v>45287</v>
      </c>
      <c r="D32" s="60" t="s">
        <v>257</v>
      </c>
      <c r="E32" s="65" t="s">
        <v>258</v>
      </c>
      <c r="F32" s="58">
        <f>50-8-6-6-9</f>
        <v>21</v>
      </c>
      <c r="G32" s="58" t="s">
        <v>259</v>
      </c>
      <c r="H32" s="63">
        <v>1239</v>
      </c>
      <c r="I32" s="63">
        <f t="shared" si="0"/>
        <v>26019</v>
      </c>
      <c r="J32" s="21"/>
    </row>
    <row r="33" spans="1:10" ht="15.75" x14ac:dyDescent="0.25">
      <c r="A33" s="58">
        <v>37</v>
      </c>
      <c r="B33" s="59">
        <v>45107</v>
      </c>
      <c r="C33" s="59">
        <v>45107</v>
      </c>
      <c r="D33" s="60" t="s">
        <v>260</v>
      </c>
      <c r="E33" s="65" t="s">
        <v>261</v>
      </c>
      <c r="F33" s="58">
        <f>50-30-1-1-1-12</f>
        <v>5</v>
      </c>
      <c r="G33" s="58" t="s">
        <v>12</v>
      </c>
      <c r="H33" s="63">
        <v>1642.56</v>
      </c>
      <c r="I33" s="63">
        <f t="shared" si="0"/>
        <v>8212.7999999999993</v>
      </c>
      <c r="J33" s="21"/>
    </row>
    <row r="34" spans="1:10" x14ac:dyDescent="0.25">
      <c r="A34" s="18"/>
      <c r="B34" s="23"/>
      <c r="C34" s="23"/>
      <c r="D34" s="23"/>
      <c r="E34" s="23"/>
      <c r="F34" s="23"/>
      <c r="G34" s="23"/>
      <c r="H34" s="49" t="s">
        <v>57</v>
      </c>
      <c r="I34" s="50">
        <f>SUM(I12:I33)</f>
        <v>784218.56</v>
      </c>
    </row>
    <row r="35" spans="1:10" x14ac:dyDescent="0.25">
      <c r="A35" s="23"/>
      <c r="B35" s="23"/>
      <c r="C35" s="23"/>
      <c r="D35" s="23"/>
      <c r="E35" s="23"/>
      <c r="F35" s="23"/>
      <c r="G35" s="23"/>
      <c r="H35" s="51"/>
      <c r="I35" s="52"/>
    </row>
    <row r="36" spans="1:10" x14ac:dyDescent="0.25">
      <c r="A36" s="23"/>
      <c r="B36" s="23"/>
      <c r="C36" s="23"/>
      <c r="D36" s="23"/>
      <c r="E36" s="23"/>
      <c r="F36" s="23"/>
      <c r="G36" s="23"/>
      <c r="H36" s="51"/>
      <c r="I36" s="52"/>
    </row>
    <row r="37" spans="1:10" x14ac:dyDescent="0.25">
      <c r="A37" s="23"/>
      <c r="B37" s="23"/>
      <c r="C37" s="23"/>
      <c r="D37" s="23"/>
      <c r="E37" s="23"/>
      <c r="F37" s="23"/>
      <c r="G37" s="23"/>
      <c r="H37" s="51"/>
      <c r="I37" s="52"/>
    </row>
    <row r="39" spans="1:10" x14ac:dyDescent="0.25">
      <c r="D39" s="85" t="s">
        <v>265</v>
      </c>
      <c r="E39" s="85"/>
    </row>
    <row r="40" spans="1:10" x14ac:dyDescent="0.25">
      <c r="D40" s="85" t="s">
        <v>266</v>
      </c>
      <c r="E40" s="85"/>
    </row>
    <row r="41" spans="1:10" ht="15.75" x14ac:dyDescent="0.25">
      <c r="D41" s="80" t="s">
        <v>267</v>
      </c>
      <c r="E41" s="80"/>
      <c r="F41" s="80"/>
      <c r="G41" s="80"/>
    </row>
    <row r="42" spans="1:10" x14ac:dyDescent="0.25">
      <c r="B42" s="81" t="s">
        <v>268</v>
      </c>
    </row>
    <row r="43" spans="1:10" x14ac:dyDescent="0.25">
      <c r="B43" s="81" t="s">
        <v>269</v>
      </c>
    </row>
    <row r="44" spans="1:10" x14ac:dyDescent="0.25">
      <c r="B44" s="81"/>
    </row>
  </sheetData>
  <mergeCells count="7">
    <mergeCell ref="D40:E40"/>
    <mergeCell ref="A7:I7"/>
    <mergeCell ref="A8:I8"/>
    <mergeCell ref="A9:I9"/>
    <mergeCell ref="A10:I10"/>
    <mergeCell ref="F11:G11"/>
    <mergeCell ref="D39:E39"/>
  </mergeCells>
  <pageMargins left="0.7" right="0.7" top="0.75" bottom="0.75" header="0.3" footer="0.3"/>
  <pageSetup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R26"/>
  <sheetViews>
    <sheetView workbookViewId="0">
      <selection activeCell="A14" sqref="A14:I14"/>
    </sheetView>
  </sheetViews>
  <sheetFormatPr baseColWidth="10" defaultRowHeight="15" x14ac:dyDescent="0.25"/>
  <cols>
    <col min="1" max="1" width="5" bestFit="1" customWidth="1"/>
    <col min="2" max="2" width="18.28515625" customWidth="1"/>
    <col min="3" max="3" width="16.85546875" customWidth="1"/>
    <col min="4" max="4" width="8.5703125" customWidth="1"/>
    <col min="5" max="5" width="28.140625" customWidth="1"/>
    <col min="6" max="6" width="4.42578125" bestFit="1" customWidth="1"/>
    <col min="7" max="7" width="7.85546875" customWidth="1"/>
    <col min="8" max="8" width="13.5703125" bestFit="1" customWidth="1"/>
    <col min="9" max="9" width="13.7109375" bestFit="1" customWidth="1"/>
    <col min="11" max="18" width="11.42578125" style="21"/>
  </cols>
  <sheetData>
    <row r="6" spans="1:10" x14ac:dyDescent="0.25">
      <c r="A6" s="98"/>
      <c r="B6" s="98"/>
      <c r="C6" s="98"/>
      <c r="D6" s="98"/>
      <c r="E6" s="98"/>
      <c r="F6" s="98"/>
      <c r="G6" s="98"/>
      <c r="H6" s="98"/>
      <c r="I6" s="98"/>
    </row>
    <row r="12" spans="1:10" ht="18.75" x14ac:dyDescent="0.3">
      <c r="A12" s="99" t="s">
        <v>1</v>
      </c>
      <c r="B12" s="99"/>
      <c r="C12" s="99"/>
      <c r="D12" s="99"/>
      <c r="E12" s="99"/>
      <c r="F12" s="99"/>
      <c r="G12" s="99"/>
      <c r="H12" s="99"/>
      <c r="I12" s="99"/>
    </row>
    <row r="13" spans="1:10" ht="15.75" x14ac:dyDescent="0.25">
      <c r="A13" s="96" t="s">
        <v>262</v>
      </c>
      <c r="B13" s="96"/>
      <c r="C13" s="96"/>
      <c r="D13" s="96"/>
      <c r="E13" s="96"/>
      <c r="F13" s="96"/>
      <c r="G13" s="96"/>
      <c r="H13" s="96"/>
      <c r="I13" s="96"/>
    </row>
    <row r="14" spans="1:10" ht="15.75" x14ac:dyDescent="0.25">
      <c r="A14" s="89" t="s">
        <v>333</v>
      </c>
      <c r="B14" s="89"/>
      <c r="C14" s="89"/>
      <c r="D14" s="89"/>
      <c r="E14" s="89"/>
      <c r="F14" s="89"/>
      <c r="G14" s="89"/>
      <c r="H14" s="89"/>
      <c r="I14" s="89"/>
    </row>
    <row r="15" spans="1:10" ht="47.25" x14ac:dyDescent="0.25">
      <c r="A15" s="67" t="s">
        <v>60</v>
      </c>
      <c r="B15" s="68" t="s">
        <v>217</v>
      </c>
      <c r="C15" s="68" t="s">
        <v>4</v>
      </c>
      <c r="D15" s="68" t="s">
        <v>5</v>
      </c>
      <c r="E15" s="69" t="s">
        <v>6</v>
      </c>
      <c r="F15" s="100" t="s">
        <v>7</v>
      </c>
      <c r="G15" s="101"/>
      <c r="H15" s="68" t="s">
        <v>8</v>
      </c>
      <c r="I15" s="70" t="s">
        <v>9</v>
      </c>
    </row>
    <row r="16" spans="1:10" ht="15.75" x14ac:dyDescent="0.25">
      <c r="A16" s="58">
        <v>1</v>
      </c>
      <c r="B16" s="59">
        <v>44183</v>
      </c>
      <c r="C16" s="71">
        <v>44183</v>
      </c>
      <c r="D16" s="72" t="s">
        <v>245</v>
      </c>
      <c r="E16" s="73" t="s">
        <v>263</v>
      </c>
      <c r="F16" s="74">
        <f>435-11-10-11-9-11-2-9-5-3-5-2-1-8-3-1-40-5-14-6-38-10-7-5-8-5-3-5-14-28-1-9-5-54-9</f>
        <v>78</v>
      </c>
      <c r="G16" s="74" t="s">
        <v>232</v>
      </c>
      <c r="H16" s="75">
        <v>527.46</v>
      </c>
      <c r="I16" s="63">
        <f>+F16*H16</f>
        <v>41141.880000000005</v>
      </c>
      <c r="J16" s="21"/>
    </row>
    <row r="17" spans="1:9" x14ac:dyDescent="0.25">
      <c r="H17" s="76" t="s">
        <v>57</v>
      </c>
      <c r="I17" s="77">
        <f>SUM(I16:I16)</f>
        <v>41141.880000000005</v>
      </c>
    </row>
    <row r="18" spans="1:9" x14ac:dyDescent="0.25">
      <c r="A18" s="23"/>
      <c r="B18" s="23"/>
      <c r="C18" s="23"/>
      <c r="D18" s="23"/>
      <c r="E18" s="23"/>
      <c r="F18" s="23"/>
      <c r="G18" s="23"/>
      <c r="H18" s="51"/>
      <c r="I18" s="52"/>
    </row>
    <row r="19" spans="1:9" x14ac:dyDescent="0.25">
      <c r="A19" s="23"/>
      <c r="B19" s="23"/>
      <c r="C19" s="23"/>
      <c r="D19" s="23"/>
      <c r="E19" s="23"/>
      <c r="F19" s="23"/>
      <c r="G19" s="23"/>
      <c r="H19" s="51"/>
      <c r="I19" s="52"/>
    </row>
    <row r="20" spans="1:9" x14ac:dyDescent="0.25">
      <c r="A20" s="23"/>
      <c r="B20" s="23"/>
      <c r="C20" s="23"/>
      <c r="D20" s="23"/>
      <c r="E20" s="23"/>
      <c r="F20" s="23"/>
      <c r="G20" s="23"/>
      <c r="H20" s="51"/>
      <c r="I20" s="52"/>
    </row>
    <row r="22" spans="1:9" x14ac:dyDescent="0.25">
      <c r="D22" s="85" t="s">
        <v>265</v>
      </c>
      <c r="E22" s="85"/>
    </row>
    <row r="23" spans="1:9" x14ac:dyDescent="0.25">
      <c r="D23" s="85" t="s">
        <v>266</v>
      </c>
      <c r="E23" s="85"/>
    </row>
    <row r="24" spans="1:9" ht="15.75" x14ac:dyDescent="0.25">
      <c r="D24" s="80" t="s">
        <v>267</v>
      </c>
      <c r="E24" s="80"/>
      <c r="F24" s="80"/>
      <c r="G24" s="80"/>
    </row>
    <row r="25" spans="1:9" x14ac:dyDescent="0.25">
      <c r="B25" s="81" t="s">
        <v>268</v>
      </c>
    </row>
    <row r="26" spans="1:9" x14ac:dyDescent="0.25">
      <c r="B26" s="81" t="s">
        <v>269</v>
      </c>
    </row>
  </sheetData>
  <mergeCells count="7">
    <mergeCell ref="D23:E23"/>
    <mergeCell ref="D22:E22"/>
    <mergeCell ref="A6:I6"/>
    <mergeCell ref="A12:I12"/>
    <mergeCell ref="A13:I13"/>
    <mergeCell ref="A14:I14"/>
    <mergeCell ref="F15:G15"/>
  </mergeCells>
  <pageMargins left="0.7" right="0.7" top="0.75" bottom="0.75" header="0.3" footer="0.3"/>
  <pageSetup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O52"/>
  <sheetViews>
    <sheetView tabSelected="1" workbookViewId="0">
      <selection activeCell="A10" sqref="A10:I10"/>
    </sheetView>
  </sheetViews>
  <sheetFormatPr baseColWidth="10" defaultRowHeight="15" x14ac:dyDescent="0.25"/>
  <cols>
    <col min="1" max="1" width="4.140625" customWidth="1"/>
    <col min="2" max="2" width="18.5703125" customWidth="1"/>
    <col min="3" max="3" width="10.42578125" bestFit="1" customWidth="1"/>
    <col min="5" max="5" width="44.28515625" bestFit="1" customWidth="1"/>
    <col min="6" max="6" width="8.7109375" customWidth="1"/>
    <col min="8" max="8" width="12.7109375" customWidth="1"/>
    <col min="9" max="9" width="14.28515625" customWidth="1"/>
    <col min="10" max="15" width="11.42578125" style="21"/>
  </cols>
  <sheetData>
    <row r="7" spans="1:9" x14ac:dyDescent="0.25">
      <c r="A7" s="86" t="s">
        <v>0</v>
      </c>
      <c r="B7" s="86"/>
      <c r="C7" s="86"/>
      <c r="D7" s="86"/>
      <c r="E7" s="86"/>
      <c r="F7" s="86"/>
      <c r="G7" s="86"/>
      <c r="H7" s="86"/>
      <c r="I7" s="86"/>
    </row>
    <row r="8" spans="1:9" ht="18.75" x14ac:dyDescent="0.3">
      <c r="A8" s="87" t="s">
        <v>1</v>
      </c>
      <c r="B8" s="87"/>
      <c r="C8" s="87"/>
      <c r="D8" s="87"/>
      <c r="E8" s="87"/>
      <c r="F8" s="87"/>
      <c r="G8" s="87"/>
      <c r="H8" s="87"/>
      <c r="I8" s="87"/>
    </row>
    <row r="9" spans="1:9" ht="15.75" x14ac:dyDescent="0.25">
      <c r="A9" s="88" t="s">
        <v>264</v>
      </c>
      <c r="B9" s="88"/>
      <c r="C9" s="88"/>
      <c r="D9" s="88"/>
      <c r="E9" s="88"/>
      <c r="F9" s="88"/>
      <c r="G9" s="88"/>
      <c r="H9" s="88"/>
      <c r="I9" s="88"/>
    </row>
    <row r="10" spans="1:9" ht="15.75" x14ac:dyDescent="0.25">
      <c r="A10" s="89" t="s">
        <v>333</v>
      </c>
      <c r="B10" s="89"/>
      <c r="C10" s="89"/>
      <c r="D10" s="89"/>
      <c r="E10" s="89"/>
      <c r="F10" s="89"/>
      <c r="G10" s="89"/>
      <c r="H10" s="89"/>
      <c r="I10" s="89"/>
    </row>
    <row r="11" spans="1:9" ht="47.25" x14ac:dyDescent="0.25">
      <c r="A11" s="1" t="s">
        <v>2</v>
      </c>
      <c r="B11" s="2" t="s">
        <v>3</v>
      </c>
      <c r="C11" s="3" t="s">
        <v>4</v>
      </c>
      <c r="D11" s="4" t="s">
        <v>5</v>
      </c>
      <c r="E11" s="5" t="s">
        <v>6</v>
      </c>
      <c r="F11" s="90" t="s">
        <v>7</v>
      </c>
      <c r="G11" s="91"/>
      <c r="H11" s="2" t="s">
        <v>8</v>
      </c>
      <c r="I11" s="6" t="s">
        <v>9</v>
      </c>
    </row>
    <row r="12" spans="1:9" x14ac:dyDescent="0.25">
      <c r="A12" s="7">
        <v>1</v>
      </c>
      <c r="B12" s="8">
        <v>45345</v>
      </c>
      <c r="C12" s="8">
        <v>45345</v>
      </c>
      <c r="D12" s="9" t="s">
        <v>272</v>
      </c>
      <c r="E12" s="10" t="s">
        <v>273</v>
      </c>
      <c r="F12" s="11">
        <f>18-14</f>
        <v>4</v>
      </c>
      <c r="G12" s="7" t="s">
        <v>12</v>
      </c>
      <c r="H12" s="22">
        <v>80830</v>
      </c>
      <c r="I12" s="78">
        <f t="shared" ref="I12:I42" si="0">F12*H12</f>
        <v>323320</v>
      </c>
    </row>
    <row r="13" spans="1:9" x14ac:dyDescent="0.25">
      <c r="A13" s="7">
        <v>2</v>
      </c>
      <c r="B13" s="8">
        <v>45345</v>
      </c>
      <c r="C13" s="8">
        <v>45345</v>
      </c>
      <c r="D13" s="9" t="s">
        <v>274</v>
      </c>
      <c r="E13" s="10" t="s">
        <v>275</v>
      </c>
      <c r="F13" s="11">
        <f>18-13-1</f>
        <v>4</v>
      </c>
      <c r="G13" s="7" t="s">
        <v>12</v>
      </c>
      <c r="H13" s="22">
        <v>23600</v>
      </c>
      <c r="I13" s="78">
        <f t="shared" si="0"/>
        <v>94400</v>
      </c>
    </row>
    <row r="14" spans="1:9" ht="25.5" x14ac:dyDescent="0.25">
      <c r="A14" s="7">
        <v>3</v>
      </c>
      <c r="B14" s="8">
        <v>45364</v>
      </c>
      <c r="C14" s="8">
        <v>45364</v>
      </c>
      <c r="D14" s="9" t="s">
        <v>299</v>
      </c>
      <c r="E14" s="10" t="s">
        <v>286</v>
      </c>
      <c r="F14" s="11">
        <v>8</v>
      </c>
      <c r="G14" s="7" t="s">
        <v>12</v>
      </c>
      <c r="H14" s="78">
        <v>4956</v>
      </c>
      <c r="I14" s="78">
        <f t="shared" si="0"/>
        <v>39648</v>
      </c>
    </row>
    <row r="15" spans="1:9" ht="25.5" x14ac:dyDescent="0.25">
      <c r="A15" s="7">
        <v>4</v>
      </c>
      <c r="B15" s="8">
        <v>45364</v>
      </c>
      <c r="C15" s="8">
        <v>45364</v>
      </c>
      <c r="D15" s="9" t="s">
        <v>300</v>
      </c>
      <c r="E15" s="10" t="s">
        <v>287</v>
      </c>
      <c r="F15" s="11">
        <v>8</v>
      </c>
      <c r="G15" s="7" t="s">
        <v>12</v>
      </c>
      <c r="H15" s="78">
        <v>8142</v>
      </c>
      <c r="I15" s="78">
        <f t="shared" si="0"/>
        <v>65136</v>
      </c>
    </row>
    <row r="16" spans="1:9" ht="25.5" x14ac:dyDescent="0.25">
      <c r="A16" s="7">
        <v>5</v>
      </c>
      <c r="B16" s="8">
        <v>45364</v>
      </c>
      <c r="C16" s="8">
        <v>45364</v>
      </c>
      <c r="D16" s="9" t="s">
        <v>301</v>
      </c>
      <c r="E16" s="10" t="s">
        <v>288</v>
      </c>
      <c r="F16" s="11">
        <v>12</v>
      </c>
      <c r="G16" s="7" t="s">
        <v>12</v>
      </c>
      <c r="H16" s="78">
        <v>8142</v>
      </c>
      <c r="I16" s="78">
        <f t="shared" si="0"/>
        <v>97704</v>
      </c>
    </row>
    <row r="17" spans="1:9" ht="25.5" x14ac:dyDescent="0.25">
      <c r="A17" s="7">
        <v>6</v>
      </c>
      <c r="B17" s="8">
        <v>45364</v>
      </c>
      <c r="C17" s="8">
        <v>45364</v>
      </c>
      <c r="D17" s="9" t="s">
        <v>302</v>
      </c>
      <c r="E17" s="10" t="s">
        <v>303</v>
      </c>
      <c r="F17" s="11">
        <f>13-2</f>
        <v>11</v>
      </c>
      <c r="G17" s="7" t="s">
        <v>12</v>
      </c>
      <c r="H17" s="78">
        <v>6372</v>
      </c>
      <c r="I17" s="78">
        <f t="shared" si="0"/>
        <v>70092</v>
      </c>
    </row>
    <row r="18" spans="1:9" ht="25.5" x14ac:dyDescent="0.25">
      <c r="A18" s="7">
        <v>7</v>
      </c>
      <c r="B18" s="8">
        <v>45364</v>
      </c>
      <c r="C18" s="8">
        <v>45364</v>
      </c>
      <c r="D18" s="9" t="s">
        <v>304</v>
      </c>
      <c r="E18" s="10" t="s">
        <v>303</v>
      </c>
      <c r="F18" s="11">
        <v>12</v>
      </c>
      <c r="G18" s="7" t="s">
        <v>12</v>
      </c>
      <c r="H18" s="78">
        <v>4602</v>
      </c>
      <c r="I18" s="78">
        <f t="shared" si="0"/>
        <v>55224</v>
      </c>
    </row>
    <row r="19" spans="1:9" ht="25.5" x14ac:dyDescent="0.25">
      <c r="A19" s="7">
        <v>8</v>
      </c>
      <c r="B19" s="8">
        <v>45364</v>
      </c>
      <c r="C19" s="8">
        <v>45364</v>
      </c>
      <c r="D19" s="9" t="s">
        <v>305</v>
      </c>
      <c r="E19" s="10" t="s">
        <v>289</v>
      </c>
      <c r="F19" s="11">
        <v>4</v>
      </c>
      <c r="G19" s="7" t="s">
        <v>12</v>
      </c>
      <c r="H19" s="78">
        <v>10443</v>
      </c>
      <c r="I19" s="78">
        <f t="shared" si="0"/>
        <v>41772</v>
      </c>
    </row>
    <row r="20" spans="1:9" ht="25.5" x14ac:dyDescent="0.25">
      <c r="A20" s="7">
        <v>9</v>
      </c>
      <c r="B20" s="8">
        <v>45364</v>
      </c>
      <c r="C20" s="8">
        <v>45364</v>
      </c>
      <c r="D20" s="9" t="s">
        <v>306</v>
      </c>
      <c r="E20" s="10" t="s">
        <v>290</v>
      </c>
      <c r="F20" s="11">
        <v>4</v>
      </c>
      <c r="G20" s="7" t="s">
        <v>12</v>
      </c>
      <c r="H20" s="78">
        <v>8142</v>
      </c>
      <c r="I20" s="78">
        <f t="shared" si="0"/>
        <v>32568</v>
      </c>
    </row>
    <row r="21" spans="1:9" x14ac:dyDescent="0.25">
      <c r="A21" s="7">
        <v>10</v>
      </c>
      <c r="B21" s="8">
        <v>45364</v>
      </c>
      <c r="C21" s="8">
        <v>45364</v>
      </c>
      <c r="D21" s="9" t="s">
        <v>307</v>
      </c>
      <c r="E21" s="10" t="s">
        <v>291</v>
      </c>
      <c r="F21" s="11">
        <v>5</v>
      </c>
      <c r="G21" s="7" t="s">
        <v>12</v>
      </c>
      <c r="H21" s="78">
        <v>3304</v>
      </c>
      <c r="I21" s="78">
        <f t="shared" si="0"/>
        <v>16520</v>
      </c>
    </row>
    <row r="22" spans="1:9" x14ac:dyDescent="0.25">
      <c r="A22" s="7">
        <v>11</v>
      </c>
      <c r="B22" s="8">
        <v>45364</v>
      </c>
      <c r="C22" s="8">
        <v>45364</v>
      </c>
      <c r="D22" s="9" t="s">
        <v>308</v>
      </c>
      <c r="E22" s="10" t="s">
        <v>292</v>
      </c>
      <c r="F22" s="11">
        <v>5</v>
      </c>
      <c r="G22" s="7" t="s">
        <v>12</v>
      </c>
      <c r="H22" s="78">
        <v>12862</v>
      </c>
      <c r="I22" s="78">
        <f t="shared" si="0"/>
        <v>64310</v>
      </c>
    </row>
    <row r="23" spans="1:9" x14ac:dyDescent="0.25">
      <c r="A23" s="7">
        <v>12</v>
      </c>
      <c r="B23" s="8">
        <v>45364</v>
      </c>
      <c r="C23" s="8">
        <v>45364</v>
      </c>
      <c r="D23" s="9" t="s">
        <v>309</v>
      </c>
      <c r="E23" s="10" t="s">
        <v>293</v>
      </c>
      <c r="F23" s="11">
        <v>5</v>
      </c>
      <c r="G23" s="7" t="s">
        <v>12</v>
      </c>
      <c r="H23" s="78">
        <v>6962</v>
      </c>
      <c r="I23" s="78">
        <f t="shared" si="0"/>
        <v>34810</v>
      </c>
    </row>
    <row r="24" spans="1:9" ht="25.5" x14ac:dyDescent="0.25">
      <c r="A24" s="7">
        <v>13</v>
      </c>
      <c r="B24" s="8">
        <v>45364</v>
      </c>
      <c r="C24" s="8">
        <v>45364</v>
      </c>
      <c r="D24" s="9" t="s">
        <v>310</v>
      </c>
      <c r="E24" s="10" t="s">
        <v>294</v>
      </c>
      <c r="F24" s="11">
        <v>8</v>
      </c>
      <c r="G24" s="7" t="s">
        <v>12</v>
      </c>
      <c r="H24" s="78">
        <v>12862</v>
      </c>
      <c r="I24" s="78">
        <f t="shared" si="0"/>
        <v>102896</v>
      </c>
    </row>
    <row r="25" spans="1:9" ht="25.5" x14ac:dyDescent="0.25">
      <c r="A25" s="7">
        <v>14</v>
      </c>
      <c r="B25" s="8">
        <v>45364</v>
      </c>
      <c r="C25" s="8">
        <v>45364</v>
      </c>
      <c r="D25" s="9" t="s">
        <v>311</v>
      </c>
      <c r="E25" s="10" t="s">
        <v>295</v>
      </c>
      <c r="F25" s="11">
        <v>2</v>
      </c>
      <c r="G25" s="7" t="s">
        <v>12</v>
      </c>
      <c r="H25" s="78">
        <v>8142</v>
      </c>
      <c r="I25" s="78">
        <f t="shared" si="0"/>
        <v>16284</v>
      </c>
    </row>
    <row r="26" spans="1:9" ht="25.5" x14ac:dyDescent="0.25">
      <c r="A26" s="7">
        <v>15</v>
      </c>
      <c r="B26" s="8">
        <v>45364</v>
      </c>
      <c r="C26" s="8">
        <v>45364</v>
      </c>
      <c r="D26" s="9" t="s">
        <v>312</v>
      </c>
      <c r="E26" s="10" t="s">
        <v>296</v>
      </c>
      <c r="F26" s="11">
        <v>2</v>
      </c>
      <c r="G26" s="7" t="s">
        <v>12</v>
      </c>
      <c r="H26" s="78">
        <v>15222</v>
      </c>
      <c r="I26" s="78">
        <f t="shared" si="0"/>
        <v>30444</v>
      </c>
    </row>
    <row r="27" spans="1:9" ht="25.5" x14ac:dyDescent="0.25">
      <c r="A27" s="7">
        <v>16</v>
      </c>
      <c r="B27" s="8">
        <v>45364</v>
      </c>
      <c r="C27" s="8">
        <v>45364</v>
      </c>
      <c r="D27" s="9" t="s">
        <v>313</v>
      </c>
      <c r="E27" s="10" t="s">
        <v>297</v>
      </c>
      <c r="F27" s="11">
        <f>13-5</f>
        <v>8</v>
      </c>
      <c r="G27" s="7" t="s">
        <v>12</v>
      </c>
      <c r="H27" s="78">
        <v>5310</v>
      </c>
      <c r="I27" s="78">
        <f t="shared" si="0"/>
        <v>42480</v>
      </c>
    </row>
    <row r="28" spans="1:9" ht="25.5" x14ac:dyDescent="0.25">
      <c r="A28" s="7">
        <v>17</v>
      </c>
      <c r="B28" s="8">
        <v>45366</v>
      </c>
      <c r="C28" s="8">
        <v>45366</v>
      </c>
      <c r="D28" s="9" t="s">
        <v>314</v>
      </c>
      <c r="E28" s="10" t="s">
        <v>276</v>
      </c>
      <c r="F28" s="11">
        <v>11</v>
      </c>
      <c r="G28" s="7" t="s">
        <v>12</v>
      </c>
      <c r="H28" s="78">
        <v>30090</v>
      </c>
      <c r="I28" s="78">
        <f t="shared" si="0"/>
        <v>330990</v>
      </c>
    </row>
    <row r="29" spans="1:9" ht="25.5" x14ac:dyDescent="0.25">
      <c r="A29" s="7">
        <v>18</v>
      </c>
      <c r="B29" s="8">
        <v>45366</v>
      </c>
      <c r="C29" s="8">
        <v>45366</v>
      </c>
      <c r="D29" s="9" t="s">
        <v>315</v>
      </c>
      <c r="E29" s="10" t="s">
        <v>277</v>
      </c>
      <c r="F29" s="11">
        <v>5</v>
      </c>
      <c r="G29" s="7" t="s">
        <v>12</v>
      </c>
      <c r="H29" s="78">
        <v>12862</v>
      </c>
      <c r="I29" s="78">
        <f t="shared" si="0"/>
        <v>64310</v>
      </c>
    </row>
    <row r="30" spans="1:9" x14ac:dyDescent="0.25">
      <c r="A30" s="7">
        <v>19</v>
      </c>
      <c r="B30" s="8">
        <v>45366</v>
      </c>
      <c r="C30" s="8">
        <v>45366</v>
      </c>
      <c r="D30" s="9" t="s">
        <v>316</v>
      </c>
      <c r="E30" s="10" t="s">
        <v>278</v>
      </c>
      <c r="F30" s="11">
        <v>5</v>
      </c>
      <c r="G30" s="7" t="s">
        <v>12</v>
      </c>
      <c r="H30" s="78">
        <v>6490</v>
      </c>
      <c r="I30" s="78">
        <f t="shared" si="0"/>
        <v>32450</v>
      </c>
    </row>
    <row r="31" spans="1:9" x14ac:dyDescent="0.25">
      <c r="A31" s="7">
        <v>20</v>
      </c>
      <c r="B31" s="8">
        <v>45366</v>
      </c>
      <c r="C31" s="8">
        <v>45366</v>
      </c>
      <c r="D31" s="9" t="s">
        <v>317</v>
      </c>
      <c r="E31" s="10" t="s">
        <v>279</v>
      </c>
      <c r="F31" s="11">
        <v>5</v>
      </c>
      <c r="G31" s="7" t="s">
        <v>12</v>
      </c>
      <c r="H31" s="78">
        <v>6490</v>
      </c>
      <c r="I31" s="78">
        <f t="shared" si="0"/>
        <v>32450</v>
      </c>
    </row>
    <row r="32" spans="1:9" x14ac:dyDescent="0.25">
      <c r="A32" s="7">
        <v>21</v>
      </c>
      <c r="B32" s="8">
        <v>45366</v>
      </c>
      <c r="C32" s="8">
        <v>45366</v>
      </c>
      <c r="D32" s="9" t="s">
        <v>318</v>
      </c>
      <c r="E32" s="10" t="s">
        <v>319</v>
      </c>
      <c r="F32" s="11">
        <v>5</v>
      </c>
      <c r="G32" s="7" t="s">
        <v>12</v>
      </c>
      <c r="H32" s="78">
        <v>6490</v>
      </c>
      <c r="I32" s="78">
        <f t="shared" si="0"/>
        <v>32450</v>
      </c>
    </row>
    <row r="33" spans="1:9" x14ac:dyDescent="0.25">
      <c r="A33" s="7">
        <v>22</v>
      </c>
      <c r="B33" s="8">
        <v>45366</v>
      </c>
      <c r="C33" s="8">
        <v>45366</v>
      </c>
      <c r="D33" s="9" t="s">
        <v>320</v>
      </c>
      <c r="E33" s="10" t="s">
        <v>321</v>
      </c>
      <c r="F33" s="11">
        <v>5</v>
      </c>
      <c r="G33" s="7" t="s">
        <v>12</v>
      </c>
      <c r="H33" s="78">
        <v>6490</v>
      </c>
      <c r="I33" s="78">
        <f t="shared" si="0"/>
        <v>32450</v>
      </c>
    </row>
    <row r="34" spans="1:9" x14ac:dyDescent="0.25">
      <c r="A34" s="7">
        <v>23</v>
      </c>
      <c r="B34" s="8">
        <v>45366</v>
      </c>
      <c r="C34" s="8">
        <v>45366</v>
      </c>
      <c r="D34" s="9" t="s">
        <v>322</v>
      </c>
      <c r="E34" s="10" t="s">
        <v>280</v>
      </c>
      <c r="F34" s="11">
        <v>4</v>
      </c>
      <c r="G34" s="7" t="s">
        <v>12</v>
      </c>
      <c r="H34" s="78">
        <v>10502</v>
      </c>
      <c r="I34" s="78">
        <f t="shared" si="0"/>
        <v>42008</v>
      </c>
    </row>
    <row r="35" spans="1:9" x14ac:dyDescent="0.25">
      <c r="A35" s="7">
        <v>24</v>
      </c>
      <c r="B35" s="8">
        <v>45366</v>
      </c>
      <c r="C35" s="8">
        <v>45366</v>
      </c>
      <c r="D35" s="9" t="s">
        <v>323</v>
      </c>
      <c r="E35" s="10" t="s">
        <v>281</v>
      </c>
      <c r="F35" s="11">
        <v>4</v>
      </c>
      <c r="G35" s="7" t="s">
        <v>12</v>
      </c>
      <c r="H35" s="78">
        <v>10502</v>
      </c>
      <c r="I35" s="78">
        <f t="shared" si="0"/>
        <v>42008</v>
      </c>
    </row>
    <row r="36" spans="1:9" ht="25.5" x14ac:dyDescent="0.25">
      <c r="A36" s="7">
        <v>25</v>
      </c>
      <c r="B36" s="8">
        <v>45366</v>
      </c>
      <c r="C36" s="8">
        <v>45366</v>
      </c>
      <c r="D36" s="9" t="s">
        <v>324</v>
      </c>
      <c r="E36" s="10" t="s">
        <v>282</v>
      </c>
      <c r="F36" s="11">
        <v>5</v>
      </c>
      <c r="G36" s="7" t="s">
        <v>12</v>
      </c>
      <c r="H36" s="78">
        <v>15222</v>
      </c>
      <c r="I36" s="78">
        <f t="shared" si="0"/>
        <v>76110</v>
      </c>
    </row>
    <row r="37" spans="1:9" x14ac:dyDescent="0.25">
      <c r="A37" s="7">
        <v>26</v>
      </c>
      <c r="B37" s="8">
        <v>45366</v>
      </c>
      <c r="C37" s="8">
        <v>45366</v>
      </c>
      <c r="D37" s="9" t="s">
        <v>325</v>
      </c>
      <c r="E37" s="10" t="s">
        <v>326</v>
      </c>
      <c r="F37" s="11">
        <v>5</v>
      </c>
      <c r="G37" s="7" t="s">
        <v>12</v>
      </c>
      <c r="H37" s="78">
        <v>8962.0059999999994</v>
      </c>
      <c r="I37" s="78">
        <f t="shared" si="0"/>
        <v>44810.03</v>
      </c>
    </row>
    <row r="38" spans="1:9" ht="25.5" x14ac:dyDescent="0.25">
      <c r="A38" s="7">
        <v>27</v>
      </c>
      <c r="B38" s="8">
        <v>45366</v>
      </c>
      <c r="C38" s="8">
        <v>45366</v>
      </c>
      <c r="D38" s="9" t="s">
        <v>327</v>
      </c>
      <c r="E38" s="10" t="s">
        <v>283</v>
      </c>
      <c r="F38" s="11">
        <v>5</v>
      </c>
      <c r="G38" s="7" t="s">
        <v>12</v>
      </c>
      <c r="H38" s="78">
        <v>6962</v>
      </c>
      <c r="I38" s="78">
        <f t="shared" si="0"/>
        <v>34810</v>
      </c>
    </row>
    <row r="39" spans="1:9" ht="25.5" x14ac:dyDescent="0.25">
      <c r="A39" s="7">
        <v>28</v>
      </c>
      <c r="B39" s="8">
        <v>45366</v>
      </c>
      <c r="C39" s="8">
        <v>45366</v>
      </c>
      <c r="D39" s="9" t="s">
        <v>328</v>
      </c>
      <c r="E39" s="10" t="s">
        <v>284</v>
      </c>
      <c r="F39" s="11">
        <v>4</v>
      </c>
      <c r="G39" s="7" t="s">
        <v>12</v>
      </c>
      <c r="H39" s="78">
        <v>12862</v>
      </c>
      <c r="I39" s="78">
        <f t="shared" si="0"/>
        <v>51448</v>
      </c>
    </row>
    <row r="40" spans="1:9" ht="25.5" x14ac:dyDescent="0.25">
      <c r="A40" s="7">
        <v>29</v>
      </c>
      <c r="B40" s="8">
        <v>45366</v>
      </c>
      <c r="C40" s="8">
        <v>45366</v>
      </c>
      <c r="D40" s="9" t="s">
        <v>329</v>
      </c>
      <c r="E40" s="10" t="s">
        <v>285</v>
      </c>
      <c r="F40" s="11">
        <v>10</v>
      </c>
      <c r="G40" s="7" t="s">
        <v>12</v>
      </c>
      <c r="H40" s="78">
        <v>12811</v>
      </c>
      <c r="I40" s="78">
        <f t="shared" si="0"/>
        <v>128110</v>
      </c>
    </row>
    <row r="41" spans="1:9" ht="25.5" x14ac:dyDescent="0.25">
      <c r="A41" s="7">
        <v>30</v>
      </c>
      <c r="B41" s="8">
        <v>45370</v>
      </c>
      <c r="C41" s="8">
        <v>45370</v>
      </c>
      <c r="D41" s="9" t="s">
        <v>330</v>
      </c>
      <c r="E41" s="10" t="s">
        <v>331</v>
      </c>
      <c r="F41" s="11">
        <v>8</v>
      </c>
      <c r="G41" s="7" t="s">
        <v>12</v>
      </c>
      <c r="H41" s="78">
        <v>5310</v>
      </c>
      <c r="I41" s="78">
        <f t="shared" si="0"/>
        <v>42480</v>
      </c>
    </row>
    <row r="42" spans="1:9" x14ac:dyDescent="0.25">
      <c r="A42" s="7">
        <v>31</v>
      </c>
      <c r="B42" s="8">
        <v>45370</v>
      </c>
      <c r="C42" s="8">
        <v>45370</v>
      </c>
      <c r="D42" s="9" t="s">
        <v>332</v>
      </c>
      <c r="E42" s="10" t="s">
        <v>298</v>
      </c>
      <c r="F42" s="11">
        <v>5</v>
      </c>
      <c r="G42" s="7" t="s">
        <v>12</v>
      </c>
      <c r="H42" s="78">
        <v>5310</v>
      </c>
      <c r="I42" s="78">
        <f t="shared" si="0"/>
        <v>26550</v>
      </c>
    </row>
    <row r="43" spans="1:9" x14ac:dyDescent="0.25">
      <c r="A43" s="18"/>
      <c r="B43" s="19"/>
      <c r="C43" s="19"/>
      <c r="D43" s="19"/>
      <c r="E43" s="18"/>
      <c r="F43" s="19"/>
      <c r="G43" s="18"/>
      <c r="H43" s="84" t="s">
        <v>57</v>
      </c>
      <c r="I43" s="79">
        <f>SUM(I12:I42)</f>
        <v>2141042.0300000003</v>
      </c>
    </row>
    <row r="44" spans="1:9" x14ac:dyDescent="0.25">
      <c r="A44" s="23"/>
      <c r="B44" s="23"/>
      <c r="C44" s="23"/>
      <c r="D44" s="23"/>
      <c r="E44" s="23"/>
      <c r="F44" s="23"/>
      <c r="G44" s="23"/>
      <c r="H44" s="51"/>
      <c r="I44" s="52"/>
    </row>
    <row r="45" spans="1:9" x14ac:dyDescent="0.25">
      <c r="A45" s="23"/>
      <c r="B45" s="23"/>
      <c r="C45" s="23"/>
      <c r="D45" s="23"/>
      <c r="E45" s="23"/>
      <c r="F45" s="23"/>
      <c r="G45" s="23"/>
      <c r="H45" s="51"/>
      <c r="I45" s="52"/>
    </row>
    <row r="46" spans="1:9" x14ac:dyDescent="0.25">
      <c r="A46" s="23"/>
      <c r="B46" s="23"/>
      <c r="C46" s="23"/>
      <c r="D46" s="23"/>
      <c r="E46" s="23"/>
      <c r="F46" s="23"/>
      <c r="G46" s="23"/>
      <c r="H46" s="51"/>
      <c r="I46" s="52"/>
    </row>
    <row r="48" spans="1:9" x14ac:dyDescent="0.25">
      <c r="D48" s="85" t="s">
        <v>265</v>
      </c>
      <c r="E48" s="85"/>
    </row>
    <row r="49" spans="2:7" x14ac:dyDescent="0.25">
      <c r="D49" s="85" t="s">
        <v>266</v>
      </c>
      <c r="E49" s="85"/>
    </row>
    <row r="50" spans="2:7" ht="15.75" x14ac:dyDescent="0.25">
      <c r="D50" s="80" t="s">
        <v>267</v>
      </c>
      <c r="E50" s="80"/>
      <c r="F50" s="80"/>
      <c r="G50" s="80"/>
    </row>
    <row r="51" spans="2:7" x14ac:dyDescent="0.25">
      <c r="B51" s="81" t="s">
        <v>268</v>
      </c>
    </row>
    <row r="52" spans="2:7" x14ac:dyDescent="0.25">
      <c r="B52" s="81" t="s">
        <v>269</v>
      </c>
    </row>
  </sheetData>
  <mergeCells count="7">
    <mergeCell ref="D49:E49"/>
    <mergeCell ref="A7:I7"/>
    <mergeCell ref="A8:I8"/>
    <mergeCell ref="A9:I9"/>
    <mergeCell ref="A10:I10"/>
    <mergeCell ref="F11:G11"/>
    <mergeCell ref="D48:E48"/>
  </mergeCells>
  <pageMargins left="0.7" right="0.12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INDUMENTARIA</vt:lpstr>
      <vt:lpstr>MAT. DE OFIC.</vt:lpstr>
      <vt:lpstr>HIGIENE</vt:lpstr>
      <vt:lpstr>SALUD</vt:lpstr>
      <vt:lpstr>TALLER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Mateo Santiago</dc:creator>
  <cp:lastModifiedBy>Estela Samboy Lora</cp:lastModifiedBy>
  <cp:lastPrinted>2024-03-10T13:58:14Z</cp:lastPrinted>
  <dcterms:created xsi:type="dcterms:W3CDTF">2024-02-01T19:17:50Z</dcterms:created>
  <dcterms:modified xsi:type="dcterms:W3CDTF">2024-04-20T12:44:22Z</dcterms:modified>
</cp:coreProperties>
</file>